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60" windowWidth="14172" windowHeight="5580" firstSheet="1" activeTab="4"/>
  </bookViews>
  <sheets>
    <sheet name="FML 1999 to 2011 Report " sheetId="15" r:id="rId1"/>
    <sheet name="Summary &amp; Forecast" sheetId="6" r:id="rId2"/>
    <sheet name="Notes" sheetId="3" r:id="rId3"/>
    <sheet name="Questions" sheetId="5" r:id="rId4"/>
    <sheet name="Trust Account" sheetId="9" r:id="rId5"/>
  </sheets>
  <definedNames>
    <definedName name="_xlnm.Print_Area" localSheetId="0">'FML 1999 to 2011 Report '!$B$2:$R$65</definedName>
    <definedName name="_xlnm.Print_Area" localSheetId="2">Notes!$A$4:$I$11</definedName>
    <definedName name="_xlnm.Print_Area" localSheetId="3">Questions!$B$3:$B$23</definedName>
    <definedName name="_xlnm.Print_Area" localSheetId="1">'Summary &amp; Forecast'!$C$2:$G$18</definedName>
    <definedName name="_xlnm.Print_Area" localSheetId="4">'Trust Account'!$F$4:$N$38</definedName>
  </definedNames>
  <calcPr calcId="145621"/>
</workbook>
</file>

<file path=xl/calcChain.xml><?xml version="1.0" encoding="utf-8"?>
<calcChain xmlns="http://schemas.openxmlformats.org/spreadsheetml/2006/main">
  <c r="E16" i="6" l="1"/>
  <c r="D16" i="6"/>
  <c r="D6" i="6"/>
  <c r="D5" i="6"/>
  <c r="C13" i="6"/>
  <c r="C12" i="6"/>
  <c r="C11" i="6"/>
  <c r="C10" i="6"/>
  <c r="L38" i="9" l="1"/>
  <c r="K38" i="9"/>
  <c r="J38" i="9"/>
  <c r="G38" i="9"/>
  <c r="G37" i="9"/>
  <c r="G36" i="9"/>
  <c r="H35" i="9"/>
  <c r="G35" i="9"/>
  <c r="G34" i="9"/>
  <c r="G33" i="9"/>
  <c r="H32" i="9"/>
  <c r="G32" i="9"/>
  <c r="G31" i="9"/>
  <c r="I30" i="9"/>
  <c r="H30" i="9"/>
  <c r="J23" i="9"/>
  <c r="L22" i="9"/>
  <c r="J20" i="9"/>
  <c r="L19" i="9"/>
  <c r="J18" i="9"/>
  <c r="L13" i="9"/>
  <c r="L12" i="9"/>
  <c r="L11" i="9"/>
  <c r="L10" i="9"/>
  <c r="L9" i="9"/>
  <c r="L8" i="9"/>
  <c r="L7" i="9"/>
  <c r="J7" i="9"/>
  <c r="H38" i="9" l="1"/>
  <c r="M32" i="9"/>
  <c r="I38" i="9"/>
  <c r="M38" i="9" s="1"/>
  <c r="N32" i="9"/>
  <c r="M35" i="9"/>
  <c r="N35" i="9" s="1"/>
  <c r="L20" i="9"/>
  <c r="L23" i="9"/>
  <c r="L18" i="9"/>
  <c r="L21" i="9"/>
  <c r="L24" i="9"/>
  <c r="G16" i="6"/>
  <c r="P63" i="15" l="1"/>
  <c r="E12" i="6" s="1"/>
  <c r="O63" i="15"/>
  <c r="N63" i="15"/>
  <c r="M63" i="15"/>
  <c r="L63" i="15"/>
  <c r="K63" i="15"/>
  <c r="I63" i="15"/>
  <c r="G63" i="15"/>
  <c r="E63" i="15"/>
  <c r="D12" i="6" s="1"/>
  <c r="J63" i="15" l="1"/>
  <c r="H12" i="6"/>
  <c r="G12" i="6" s="1"/>
  <c r="Q63" i="15"/>
  <c r="H5" i="6"/>
  <c r="F62" i="15"/>
  <c r="L61" i="15"/>
  <c r="K61" i="15"/>
  <c r="J61" i="15"/>
  <c r="I61" i="15"/>
  <c r="H61" i="15"/>
  <c r="G61" i="15"/>
  <c r="F61" i="15"/>
  <c r="E61" i="15"/>
  <c r="D10" i="6" s="1"/>
  <c r="F60" i="15"/>
  <c r="E60" i="15"/>
  <c r="D9" i="6" s="1"/>
  <c r="P59" i="15"/>
  <c r="O59" i="15"/>
  <c r="N59" i="15"/>
  <c r="M59" i="15"/>
  <c r="L59" i="15"/>
  <c r="K59" i="15"/>
  <c r="J59" i="15"/>
  <c r="I59" i="15"/>
  <c r="H59" i="15"/>
  <c r="G59" i="15"/>
  <c r="F59" i="15" s="1"/>
  <c r="E59" i="15" s="1"/>
  <c r="Q57" i="15"/>
  <c r="E6" i="6" s="1"/>
  <c r="H6" i="6" s="1"/>
  <c r="G6" i="6" s="1"/>
  <c r="Q56" i="15"/>
  <c r="P55" i="15"/>
  <c r="O55" i="15"/>
  <c r="N55" i="15"/>
  <c r="M55" i="15"/>
  <c r="L55" i="15"/>
  <c r="K55" i="15"/>
  <c r="J55" i="15"/>
  <c r="I55" i="15"/>
  <c r="H55" i="15"/>
  <c r="G55" i="15"/>
  <c r="P54" i="15"/>
  <c r="Q54" i="15" s="1"/>
  <c r="O54" i="15"/>
  <c r="O62" i="15" s="1"/>
  <c r="N54" i="15"/>
  <c r="M54" i="15"/>
  <c r="L54" i="15"/>
  <c r="K54" i="15"/>
  <c r="J54" i="15"/>
  <c r="I54" i="15"/>
  <c r="H54" i="15"/>
  <c r="G54" i="15"/>
  <c r="E54" i="15"/>
  <c r="Q45" i="15"/>
  <c r="Q43" i="15"/>
  <c r="O43" i="15"/>
  <c r="F41" i="15"/>
  <c r="E41" i="15"/>
  <c r="D7" i="6" s="1"/>
  <c r="D15" i="6" s="1"/>
  <c r="D17" i="6" s="1"/>
  <c r="H16" i="6" s="1"/>
  <c r="P34" i="15"/>
  <c r="O34" i="15"/>
  <c r="N34" i="15"/>
  <c r="M34" i="15"/>
  <c r="L34" i="15"/>
  <c r="K34" i="15"/>
  <c r="J34" i="15"/>
  <c r="I34" i="15"/>
  <c r="H34" i="15"/>
  <c r="G34" i="15"/>
  <c r="F34" i="15"/>
  <c r="E34" i="15"/>
  <c r="Q20" i="15"/>
  <c r="E5" i="6" s="1"/>
  <c r="G5" i="6" s="1"/>
  <c r="Q19" i="15"/>
  <c r="P14" i="15"/>
  <c r="Q14" i="15" s="1"/>
  <c r="O14" i="15"/>
  <c r="N14" i="15"/>
  <c r="M14" i="15"/>
  <c r="Q9" i="15"/>
  <c r="F9" i="15"/>
  <c r="J8" i="15"/>
  <c r="H8" i="15"/>
  <c r="H63" i="15" s="1"/>
  <c r="F8" i="15"/>
  <c r="F63" i="15" s="1"/>
  <c r="R7" i="15"/>
  <c r="R6" i="15"/>
  <c r="R5" i="15"/>
  <c r="N62" i="15" l="1"/>
  <c r="Q59" i="15"/>
  <c r="E8" i="6" s="1"/>
  <c r="D8" i="6"/>
  <c r="E62" i="15"/>
  <c r="Q41" i="15"/>
  <c r="E7" i="6" s="1"/>
  <c r="Q34" i="15"/>
  <c r="M36" i="9"/>
  <c r="N36" i="9"/>
  <c r="M34" i="9"/>
  <c r="N34" i="9" s="1"/>
  <c r="M30" i="9"/>
  <c r="N30" i="9"/>
  <c r="M33" i="9"/>
  <c r="N33" i="9" s="1"/>
  <c r="N38" i="9" s="1"/>
  <c r="M31" i="9"/>
  <c r="N31" i="9"/>
  <c r="D11" i="6" l="1"/>
  <c r="E64" i="15"/>
  <c r="D13" i="6" s="1"/>
  <c r="H8" i="6"/>
  <c r="M62" i="15"/>
  <c r="E15" i="6"/>
  <c r="H7" i="6"/>
  <c r="G7" i="6" s="1"/>
  <c r="E17" i="6" l="1"/>
  <c r="H17" i="6" s="1"/>
  <c r="H15" i="6"/>
  <c r="L62" i="15"/>
  <c r="G15" i="6"/>
  <c r="G8" i="6"/>
  <c r="K62" i="15" l="1"/>
  <c r="G17" i="6"/>
  <c r="J62" i="15" l="1"/>
  <c r="I62" i="15" s="1"/>
  <c r="H62" i="15" l="1"/>
  <c r="G62" i="15" s="1"/>
  <c r="G60" i="15"/>
  <c r="G64" i="15"/>
  <c r="F64" i="15"/>
  <c r="I60" i="15"/>
  <c r="I64" i="15"/>
  <c r="H60" i="15"/>
  <c r="H64" i="15"/>
  <c r="K60" i="15"/>
  <c r="K64" i="15"/>
  <c r="J60" i="15"/>
  <c r="J64" i="15"/>
  <c r="L60" i="15"/>
  <c r="L64" i="15"/>
  <c r="M61" i="15"/>
  <c r="M60" i="15"/>
  <c r="M64" i="15"/>
  <c r="N61" i="15"/>
  <c r="N60" i="15"/>
  <c r="N64" i="15"/>
  <c r="O61" i="15"/>
  <c r="O60" i="15"/>
  <c r="O64" i="15"/>
  <c r="P60" i="15"/>
  <c r="E9" i="6"/>
  <c r="H9" i="6"/>
  <c r="G9" i="6"/>
  <c r="P61" i="15"/>
  <c r="E10" i="6"/>
  <c r="G10" i="6"/>
  <c r="P62" i="15"/>
  <c r="E11" i="6"/>
  <c r="G11" i="6"/>
  <c r="G13" i="6"/>
  <c r="H10" i="6"/>
  <c r="H11" i="6"/>
  <c r="P64" i="15"/>
  <c r="E13" i="6"/>
  <c r="H13" i="6"/>
  <c r="Q64" i="15"/>
  <c r="P66" i="15"/>
  <c r="O66" i="15"/>
  <c r="N66" i="15"/>
  <c r="M66" i="15"/>
  <c r="L66" i="15"/>
  <c r="K66" i="15"/>
  <c r="J66" i="15"/>
  <c r="I66" i="15"/>
  <c r="H66" i="15"/>
  <c r="G66" i="15"/>
  <c r="F66" i="15"/>
  <c r="E66" i="15"/>
  <c r="Q62" i="15"/>
  <c r="Q60" i="15"/>
  <c r="Q61" i="15"/>
</calcChain>
</file>

<file path=xl/sharedStrings.xml><?xml version="1.0" encoding="utf-8"?>
<sst xmlns="http://schemas.openxmlformats.org/spreadsheetml/2006/main" count="213" uniqueCount="168">
  <si>
    <t>Cash on hand at Bank</t>
  </si>
  <si>
    <t>Ac/no</t>
  </si>
  <si>
    <t>Education Trust Account</t>
  </si>
  <si>
    <t>Islamic Development Bank Account</t>
  </si>
  <si>
    <t>Samabula Masjid Account</t>
  </si>
  <si>
    <t>Islamic Book Service Account</t>
  </si>
  <si>
    <t>Dawah Account</t>
  </si>
  <si>
    <t>SPIC Account</t>
  </si>
  <si>
    <t>Zakat Account</t>
  </si>
  <si>
    <t>Fitrana Account</t>
  </si>
  <si>
    <t>Investment Fund Account</t>
  </si>
  <si>
    <t>Disaster Relief Account</t>
  </si>
  <si>
    <t>Appeal  Account</t>
  </si>
  <si>
    <t>……..09049</t>
  </si>
  <si>
    <t>Account Description</t>
  </si>
  <si>
    <t>Closing Balance 31/12/2011</t>
  </si>
  <si>
    <t>Closing Balance 31/12/2010</t>
  </si>
  <si>
    <t>Closing Balance 31/12/2009</t>
  </si>
  <si>
    <t>Closing Balance 31/12/2008</t>
  </si>
  <si>
    <t>Commercial Account</t>
  </si>
  <si>
    <t>Fatima Girls Hostel Account</t>
  </si>
  <si>
    <t>Annual Report Page</t>
  </si>
  <si>
    <t>Page 48-18</t>
  </si>
  <si>
    <t xml:space="preserve">Samabula Masjid </t>
  </si>
  <si>
    <t>Page 40-44</t>
  </si>
  <si>
    <t>Payable to Education Trust</t>
  </si>
  <si>
    <t>Headquarters Account in OD</t>
  </si>
  <si>
    <t>Payable to FML</t>
  </si>
  <si>
    <t>Borrowings- Westpac</t>
  </si>
  <si>
    <t>Page 116-120</t>
  </si>
  <si>
    <t>Accumulated Losses</t>
  </si>
  <si>
    <t>Islamic Institute of South Pacific</t>
  </si>
  <si>
    <t>Payable to Kamil Muslim Collage</t>
  </si>
  <si>
    <t>Payable Fiji Muslim League</t>
  </si>
  <si>
    <t>Page 61-72</t>
  </si>
  <si>
    <t>Page 84</t>
  </si>
  <si>
    <t>FML Hostel Account at Bank</t>
  </si>
  <si>
    <t>Headquarters Account in Operating Surplus</t>
  </si>
  <si>
    <t>Work in Progress</t>
  </si>
  <si>
    <t>Shama Enterprise  Account #  9801710337</t>
  </si>
  <si>
    <t>Interest Paid/Bank Charges</t>
  </si>
  <si>
    <t>Closing Balance 31/12/2007</t>
  </si>
  <si>
    <t>Closing Balance 31/12/2006</t>
  </si>
  <si>
    <t>Closing Balance 31/12/2005</t>
  </si>
  <si>
    <t>Closing Balance 31/12/2004</t>
  </si>
  <si>
    <t>Closing Balance 31/12/2003</t>
  </si>
  <si>
    <t>Closing Balance 31/12/2002</t>
  </si>
  <si>
    <t>Closing Balance 31/12/2001</t>
  </si>
  <si>
    <t>Closing Balance 31/12/2000</t>
  </si>
  <si>
    <t>LMPS Appeal Fund</t>
  </si>
  <si>
    <t>Page 42-54</t>
  </si>
  <si>
    <t>Page 95-105</t>
  </si>
  <si>
    <t>Page 140-149</t>
  </si>
  <si>
    <t>Page 55-18</t>
  </si>
  <si>
    <t>Page 67-76</t>
  </si>
  <si>
    <t>Westpac Loan</t>
  </si>
  <si>
    <t>Halal Money Converted to Haram</t>
  </si>
  <si>
    <t>Hardly money in the Account to Payback - Abuse of Office</t>
  </si>
  <si>
    <t>Is it Great Investment for FML?</t>
  </si>
  <si>
    <t>Burden on Future Leaders of FML</t>
  </si>
  <si>
    <t>Total Burden of Shama Enterprises Ltd on FML</t>
  </si>
  <si>
    <t>Losses  by Shama  Enterprises Ltd</t>
  </si>
  <si>
    <t>Do FML need leaders where debt is incured?</t>
  </si>
  <si>
    <t>Do FML need leaders where other money is used instead ?</t>
  </si>
  <si>
    <t>Do FML need leaders where we only pay interest to survive?</t>
  </si>
  <si>
    <t>Do FML need Leaders where we incur losses only?</t>
  </si>
  <si>
    <t>Was FML founded to take Loans?</t>
  </si>
  <si>
    <t>Was FML founded to incur Business Losses?</t>
  </si>
  <si>
    <t>Was FML founded to pay interest?</t>
  </si>
  <si>
    <t>Was FML founded to go against Sharia?</t>
  </si>
  <si>
    <t>Time for Leadership Evulation</t>
  </si>
  <si>
    <t>FML need Leaders that will Follow Sharia</t>
  </si>
  <si>
    <t>FML need Alims that will guide us as per Sharia.</t>
  </si>
  <si>
    <t>FML need Alims that will know the results of such leadership</t>
  </si>
  <si>
    <t>Page 5-19</t>
  </si>
  <si>
    <t>Page 7-15</t>
  </si>
  <si>
    <t>Page 5-15</t>
  </si>
  <si>
    <t>Payable to Waidra land develop</t>
  </si>
  <si>
    <t>Receivables IBS</t>
  </si>
  <si>
    <t>Receivables Sundry</t>
  </si>
  <si>
    <t>Receivables Others</t>
  </si>
  <si>
    <t>Bank Loan/OD</t>
  </si>
  <si>
    <t>Receivables Dawah</t>
  </si>
  <si>
    <t>Payable to Lebanon Crisis Appeal</t>
  </si>
  <si>
    <t>Receivables Kamil Muslim Collage</t>
  </si>
  <si>
    <t xml:space="preserve">Accounts &amp; Other Payables </t>
  </si>
  <si>
    <t>Receivables from Branches</t>
  </si>
  <si>
    <t>Receivables Branches Education Levy</t>
  </si>
  <si>
    <t>Payables by FML Branches</t>
  </si>
  <si>
    <t>Burden on Branches</t>
  </si>
  <si>
    <t>MICROSPOIC AUDIT AS PER ISLAMIC LAW</t>
  </si>
  <si>
    <t>MICROSPOIC DETAILS OF FML ACCOUNTS</t>
  </si>
  <si>
    <t>Hafizud Dean Khan's Achievements</t>
  </si>
  <si>
    <t>Payable to Shama Enterprises Ltd</t>
  </si>
  <si>
    <t>Receivable Fatima Girls hostel</t>
  </si>
  <si>
    <t>Forecast Next Ten Years with Current Leadership</t>
  </si>
  <si>
    <t>FML need Leaders that will have a will to clean up the debt</t>
  </si>
  <si>
    <t>How was it Paid?</t>
  </si>
  <si>
    <t>Why is it still there?</t>
  </si>
  <si>
    <t>What is it?</t>
  </si>
  <si>
    <t>From Where?</t>
  </si>
  <si>
    <t>This is Long due Why is it not collected</t>
  </si>
  <si>
    <t>Why is it not paid?</t>
  </si>
  <si>
    <t>When will it be paid?</t>
  </si>
  <si>
    <t>Dawah</t>
  </si>
  <si>
    <t>Payment  Plan needed</t>
  </si>
  <si>
    <t>Why</t>
  </si>
  <si>
    <t>When</t>
  </si>
  <si>
    <t>How was OD reduced</t>
  </si>
  <si>
    <t>Internal Receivables by FML</t>
  </si>
  <si>
    <t xml:space="preserve">External Payables by FML </t>
  </si>
  <si>
    <t xml:space="preserve">Internal Payables by FML </t>
  </si>
  <si>
    <t xml:space="preserve">Total Receivables &amp; Payables by FML </t>
  </si>
  <si>
    <t>AS PER FML ANNUAL REPORTS OF THE RESPECTIVE YEARS</t>
  </si>
  <si>
    <t>Who authorize to use the fund</t>
  </si>
  <si>
    <t xml:space="preserve"> Why is it increasing every year? </t>
  </si>
  <si>
    <t>What is it for?</t>
  </si>
  <si>
    <t>Total</t>
  </si>
  <si>
    <t>We need Leaders that are regular to Masjid and have Taqwa to follow Sharia</t>
  </si>
  <si>
    <t>IDB</t>
  </si>
  <si>
    <t>Debtors</t>
  </si>
  <si>
    <t>Cash at Bank</t>
  </si>
  <si>
    <t>Net off Debtors</t>
  </si>
  <si>
    <t>Opening Reserves</t>
  </si>
  <si>
    <t>Fazal Khan</t>
  </si>
  <si>
    <t>Total Cash on Hand/Bank</t>
  </si>
  <si>
    <t>SUB TOTAL</t>
  </si>
  <si>
    <t xml:space="preserve">Total Interest/Bank Charges Paid by FML </t>
  </si>
  <si>
    <t>Total interest/Bank Charges paid by IISP Account</t>
  </si>
  <si>
    <t xml:space="preserve">Interest/Bank Charges Paid by Shama Enterprises Ltd </t>
  </si>
  <si>
    <t>Total interest/bank charges paid by FML Headquarters A/C</t>
  </si>
  <si>
    <t>Comments</t>
  </si>
  <si>
    <t>Total losses from the Project</t>
  </si>
  <si>
    <t>Incured Burden by FML</t>
  </si>
  <si>
    <t>Improvement in collection</t>
  </si>
  <si>
    <t>More internal borrowing to survive</t>
  </si>
  <si>
    <t>Loan for investment</t>
  </si>
  <si>
    <t>ETF Disbursement</t>
  </si>
  <si>
    <t>IDB Disbursement</t>
  </si>
  <si>
    <t>IDB Payment Received</t>
  </si>
  <si>
    <t>ETF Payment Received</t>
  </si>
  <si>
    <t>Opening Cash at Bank</t>
  </si>
  <si>
    <t>Closing Cash at Bank</t>
  </si>
  <si>
    <t>Variance of</t>
  </si>
  <si>
    <t>Calculated</t>
  </si>
  <si>
    <t>Closing Variance</t>
  </si>
  <si>
    <t>Payment Received is not reflecting into accounts</t>
  </si>
  <si>
    <t>Education Trust</t>
  </si>
  <si>
    <t>Annual Report Information as per Respective years</t>
  </si>
  <si>
    <t>Statement of Changes in Reserves As  Per Annual Report</t>
  </si>
  <si>
    <t>Fazal Khan's Period 2000</t>
  </si>
  <si>
    <t>money used elsewhere</t>
  </si>
  <si>
    <t>Do current Team need second chance to clean up their mass?</t>
  </si>
  <si>
    <t xml:space="preserve">Interest /bank charges paid by Shama Enterprises Ltd </t>
  </si>
  <si>
    <t>Shama Enterprises Ltd has annual income of about $98000.00. Interest payment is about $92000.00 annually. Loan repayment is $129000.00 annually. There is a short fall off $31000.00 annually and is being paid by Headquarters account. This $31000.00 from HQ supposed to be spend on administration and efficiency of the FML but is deprived due to Shama Complex investment.</t>
  </si>
  <si>
    <r>
      <t xml:space="preserve">FML operates about 15 accounts we only get breakdown of one account only in our Annual Report That is headquarters account which is in OD but there is operating surplus than why OD. We get details of Cane Farm, Property Income, Hostel Account, Fatima girls Hostel account. and IBS account only why not others where the cash flow is in $100000.00 plus. </t>
    </r>
    <r>
      <rPr>
        <b/>
        <sz val="16"/>
        <color theme="1"/>
        <rFont val="Calibri"/>
        <family val="2"/>
        <scheme val="minor"/>
      </rPr>
      <t xml:space="preserve">In 2001 &amp; 2007 Annual Report FML presented details of Zakat, Samabula Masjid &amp; Education Account Details and from 2008 discontinued Why? </t>
    </r>
    <r>
      <rPr>
        <b/>
        <sz val="16"/>
        <color rgb="FFFF0000"/>
        <rFont val="Calibri"/>
        <family val="2"/>
        <scheme val="minor"/>
      </rPr>
      <t xml:space="preserve">All FML branches are required to present details of all the Account Branches are operating in the AGM than </t>
    </r>
    <r>
      <rPr>
        <b/>
        <sz val="16"/>
        <rFont val="Calibri"/>
        <family val="2"/>
        <scheme val="minor"/>
      </rPr>
      <t>why is FML Exempt from presenting all other 15 accounts  more or less.</t>
    </r>
  </si>
  <si>
    <r>
      <t xml:space="preserve">Look at Headquarters Account we have conflicting reports it has cash at Bank, it has OD and it has Operating Surplus for the said period.  Can you accept this as true information. </t>
    </r>
    <r>
      <rPr>
        <b/>
        <sz val="16"/>
        <color theme="0"/>
        <rFont val="Calibri"/>
        <family val="2"/>
        <scheme val="minor"/>
      </rPr>
      <t>In 2006 Lebanon Crisis Appeal fund was collected-2007 annual report it reported its disbursed than in 2008 onward to date it appears in the Annual Report-this concluded that our Financials are not reported correctly.</t>
    </r>
    <r>
      <rPr>
        <b/>
        <sz val="16"/>
        <color rgb="FFFF0000"/>
        <rFont val="Calibri"/>
        <family val="2"/>
        <scheme val="minor"/>
      </rPr>
      <t xml:space="preserve"> We want true Balance as per Bank Reconciliation  not a Cooked statement . We also ask where is the LMPS Reconstruction Project Account.</t>
    </r>
  </si>
  <si>
    <t>Futures Leaders of FML must find $....................... To clear off all Payables Others wise FML's Accounts will never be in line with Sharia and will always Be as is where is. Shama Enterprises will continue with losses for next 10 years and will incur losses for more than the cost of the Building. Interest paid by Shama Enterprises will be more than cost of the Building</t>
  </si>
  <si>
    <t>unpresented cheques</t>
  </si>
  <si>
    <t>Additional</t>
  </si>
  <si>
    <r>
      <t xml:space="preserve">FML current decision is costing our Muslim community in terms of interest money which is contribution of  mostly our non financial members of the Muslim community. FML in total is currently spending about $100,000.00 annually on interest payment and if you add up interest paid in last 12 years you will be shocked. FML HQ account has contributed $71097.00 towards interest payment, IISP account has contributed $98366.00 towards interest payments and Shama Enterprises LTD business arm that can not be self sufficient has paid $473,841.00 towards interest. Total interest paid in12 years equates to $643,304.00.                                                                                                       </t>
    </r>
    <r>
      <rPr>
        <b/>
        <sz val="36"/>
        <color theme="0"/>
        <rFont val="Calibri"/>
        <family val="2"/>
        <scheme val="minor"/>
      </rPr>
      <t>Halal money converted to Haram.</t>
    </r>
  </si>
  <si>
    <t>Old IISP is discontinued but FML is till paying off the loan incurred by than administration 2003-2012,FML has to pay off  the debt incurred at the cost $1750.00 monthly all being paid from Headquarters account $21000.00 annually . This $21000.00 from HQ supposed to be spend on administration and efficiency of FML but is deprived due to debt incurred by than IISP administration.</t>
  </si>
  <si>
    <t>Haram conveted</t>
  </si>
  <si>
    <t>Whatever earned is paid into interest and principal payment is done from HQ</t>
  </si>
  <si>
    <t xml:space="preserve">Business losses due to insuffient cashflow </t>
  </si>
  <si>
    <t>Do FML Alim's know result of current Leadership?</t>
  </si>
  <si>
    <t>KPI's of FML - 2000-2011</t>
  </si>
  <si>
    <t>Hadizud Dean Khan's Period 2001-2011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</si>
</sst>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b/>
      <sz val="28"/>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b/>
      <sz val="20"/>
      <color theme="1"/>
      <name val="Calibri"/>
      <family val="2"/>
      <scheme val="minor"/>
    </font>
    <font>
      <b/>
      <sz val="12"/>
      <color theme="0"/>
      <name val="Calibri"/>
      <family val="2"/>
      <scheme val="minor"/>
    </font>
    <font>
      <b/>
      <sz val="18"/>
      <color rgb="FFFF0000"/>
      <name val="Calibri"/>
      <family val="2"/>
      <scheme val="minor"/>
    </font>
    <font>
      <b/>
      <sz val="22"/>
      <color rgb="FFFF0000"/>
      <name val="Calibri"/>
      <family val="2"/>
      <scheme val="minor"/>
    </font>
    <font>
      <b/>
      <sz val="26"/>
      <color theme="1"/>
      <name val="Calibri"/>
      <family val="2"/>
      <scheme val="minor"/>
    </font>
    <font>
      <b/>
      <sz val="22"/>
      <color theme="0"/>
      <name val="Calibri"/>
      <family val="2"/>
      <scheme val="minor"/>
    </font>
    <font>
      <b/>
      <sz val="14"/>
      <color theme="0"/>
      <name val="Calibri"/>
      <family val="2"/>
      <scheme val="minor"/>
    </font>
    <font>
      <b/>
      <sz val="16"/>
      <color theme="0"/>
      <name val="Calibri"/>
      <family val="2"/>
      <scheme val="minor"/>
    </font>
    <font>
      <b/>
      <sz val="12"/>
      <color rgb="FFFF0000"/>
      <name val="Calibri"/>
      <family val="2"/>
      <scheme val="minor"/>
    </font>
    <font>
      <b/>
      <sz val="72"/>
      <color theme="1"/>
      <name val="Calibri"/>
      <family val="2"/>
      <scheme val="minor"/>
    </font>
    <font>
      <b/>
      <sz val="48"/>
      <color theme="1"/>
      <name val="Calibri"/>
      <family val="2"/>
      <scheme val="minor"/>
    </font>
    <font>
      <b/>
      <sz val="14"/>
      <color theme="1"/>
      <name val="Calibri"/>
      <family val="2"/>
      <scheme val="minor"/>
    </font>
    <font>
      <sz val="20"/>
      <color theme="1"/>
      <name val="Calibri"/>
      <family val="2"/>
      <scheme val="minor"/>
    </font>
    <font>
      <b/>
      <sz val="18"/>
      <color theme="0"/>
      <name val="Calibri"/>
      <family val="2"/>
      <scheme val="minor"/>
    </font>
    <font>
      <b/>
      <sz val="14"/>
      <name val="Calibri"/>
      <family val="2"/>
      <scheme val="minor"/>
    </font>
    <font>
      <b/>
      <sz val="20"/>
      <color theme="0"/>
      <name val="Calibri"/>
      <family val="2"/>
      <scheme val="minor"/>
    </font>
    <font>
      <b/>
      <sz val="20"/>
      <color rgb="FFFF0000"/>
      <name val="Calibri"/>
      <family val="2"/>
      <scheme val="minor"/>
    </font>
    <font>
      <b/>
      <sz val="20"/>
      <name val="Calibri"/>
      <family val="2"/>
      <scheme val="minor"/>
    </font>
    <font>
      <sz val="14"/>
      <color theme="0"/>
      <name val="Calibri"/>
      <family val="2"/>
      <scheme val="minor"/>
    </font>
    <font>
      <b/>
      <sz val="12"/>
      <name val="Calibri"/>
      <family val="2"/>
      <scheme val="minor"/>
    </font>
    <font>
      <b/>
      <sz val="11"/>
      <color theme="0"/>
      <name val="Calibri"/>
      <family val="2"/>
      <scheme val="minor"/>
    </font>
    <font>
      <b/>
      <sz val="36"/>
      <color theme="1"/>
      <name val="Calibri"/>
      <family val="2"/>
      <scheme val="minor"/>
    </font>
    <font>
      <b/>
      <sz val="44"/>
      <color theme="1"/>
      <name val="Calibri"/>
      <family val="2"/>
      <scheme val="minor"/>
    </font>
    <font>
      <b/>
      <sz val="34"/>
      <color theme="1"/>
      <name val="Calibri"/>
      <family val="2"/>
      <scheme val="minor"/>
    </font>
    <font>
      <b/>
      <sz val="30"/>
      <color theme="1"/>
      <name val="Calibri"/>
      <family val="2"/>
      <scheme val="minor"/>
    </font>
    <font>
      <sz val="72"/>
      <color theme="1"/>
      <name val="Calibri"/>
      <family val="2"/>
      <scheme val="minor"/>
    </font>
    <font>
      <sz val="24"/>
      <color theme="1"/>
      <name val="Calibri"/>
      <family val="2"/>
      <scheme val="minor"/>
    </font>
    <font>
      <b/>
      <sz val="24"/>
      <color theme="1"/>
      <name val="Calibri"/>
      <family val="2"/>
      <scheme val="minor"/>
    </font>
    <font>
      <sz val="22"/>
      <color theme="1"/>
      <name val="Calibri"/>
      <family val="2"/>
      <scheme val="minor"/>
    </font>
    <font>
      <sz val="16"/>
      <color theme="1"/>
      <name val="Calibri"/>
      <family val="2"/>
      <scheme val="minor"/>
    </font>
    <font>
      <sz val="14"/>
      <color theme="1"/>
      <name val="Calibri"/>
      <family val="2"/>
      <scheme val="minor"/>
    </font>
    <font>
      <b/>
      <sz val="22"/>
      <name val="Calibri"/>
      <family val="2"/>
      <scheme val="minor"/>
    </font>
    <font>
      <b/>
      <sz val="18"/>
      <name val="Calibri"/>
      <family val="2"/>
      <scheme val="minor"/>
    </font>
    <font>
      <sz val="26"/>
      <color theme="1"/>
      <name val="Calibri"/>
      <family val="2"/>
      <scheme val="minor"/>
    </font>
    <font>
      <sz val="48"/>
      <color theme="0"/>
      <name val="Calibri"/>
      <family val="2"/>
      <scheme val="minor"/>
    </font>
    <font>
      <b/>
      <sz val="48"/>
      <color theme="0"/>
      <name val="Calibri"/>
      <family val="2"/>
      <scheme val="minor"/>
    </font>
    <font>
      <sz val="34"/>
      <color theme="1"/>
      <name val="Calibri"/>
      <family val="2"/>
      <scheme val="minor"/>
    </font>
    <font>
      <b/>
      <sz val="17"/>
      <color theme="0"/>
      <name val="Calibri"/>
      <family val="2"/>
      <scheme val="minor"/>
    </font>
    <font>
      <b/>
      <sz val="16"/>
      <color rgb="FFFF0000"/>
      <name val="Calibri"/>
      <family val="2"/>
      <scheme val="minor"/>
    </font>
    <font>
      <b/>
      <sz val="16"/>
      <name val="Calibri"/>
      <family val="2"/>
      <scheme val="minor"/>
    </font>
    <font>
      <sz val="16"/>
      <color rgb="FFFF0000"/>
      <name val="Calibri"/>
      <family val="2"/>
      <scheme val="minor"/>
    </font>
    <font>
      <b/>
      <sz val="36"/>
      <color theme="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0000"/>
        <bgColor indexed="64"/>
      </patternFill>
    </fill>
    <fill>
      <patternFill patternType="solid">
        <fgColor theme="1"/>
        <bgColor indexed="64"/>
      </patternFill>
    </fill>
    <fill>
      <patternFill patternType="solid">
        <fgColor rgb="FF66FF3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00206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410">
    <xf numFmtId="0" fontId="0" fillId="0" borderId="0" xfId="0"/>
    <xf numFmtId="0" fontId="0" fillId="0" borderId="11" xfId="0" applyBorder="1"/>
    <xf numFmtId="0" fontId="0" fillId="0" borderId="12" xfId="0" applyBorder="1"/>
    <xf numFmtId="0" fontId="2" fillId="2" borderId="26" xfId="0" applyFont="1" applyFill="1" applyBorder="1" applyAlignment="1">
      <alignment horizontal="center" vertical="center" wrapText="1"/>
    </xf>
    <xf numFmtId="0" fontId="0" fillId="0" borderId="0" xfId="0" applyBorder="1"/>
    <xf numFmtId="164" fontId="9" fillId="8" borderId="31" xfId="0" applyNumberFormat="1" applyFont="1" applyFill="1" applyBorder="1"/>
    <xf numFmtId="164" fontId="9" fillId="8" borderId="14" xfId="0" applyNumberFormat="1" applyFont="1" applyFill="1" applyBorder="1"/>
    <xf numFmtId="0" fontId="0" fillId="0" borderId="0" xfId="0" applyFill="1"/>
    <xf numFmtId="0" fontId="0" fillId="0" borderId="36" xfId="0" applyBorder="1"/>
    <xf numFmtId="0" fontId="0" fillId="0" borderId="33" xfId="0" applyBorder="1"/>
    <xf numFmtId="164" fontId="9" fillId="7" borderId="1" xfId="1" applyFont="1" applyFill="1" applyBorder="1"/>
    <xf numFmtId="0" fontId="8" fillId="0" borderId="49" xfId="0" applyFont="1" applyBorder="1" applyAlignment="1">
      <alignment horizontal="center"/>
    </xf>
    <xf numFmtId="0" fontId="2" fillId="0" borderId="48" xfId="0" applyFont="1" applyBorder="1"/>
    <xf numFmtId="0" fontId="2" fillId="0" borderId="49" xfId="0" applyFont="1" applyBorder="1"/>
    <xf numFmtId="164" fontId="9" fillId="7" borderId="28" xfId="1" applyFont="1" applyFill="1" applyBorder="1" applyAlignment="1">
      <alignment vertical="center"/>
    </xf>
    <xf numFmtId="164" fontId="9" fillId="7" borderId="20" xfId="1" applyFont="1" applyFill="1" applyBorder="1" applyAlignment="1">
      <alignment vertical="center"/>
    </xf>
    <xf numFmtId="0" fontId="2" fillId="0" borderId="25" xfId="0" applyFont="1" applyBorder="1"/>
    <xf numFmtId="0" fontId="2" fillId="0" borderId="28" xfId="0" applyFont="1" applyBorder="1"/>
    <xf numFmtId="0" fontId="2" fillId="0" borderId="19" xfId="0" applyFont="1" applyBorder="1"/>
    <xf numFmtId="164" fontId="2" fillId="6" borderId="23" xfId="1" applyFont="1" applyFill="1" applyBorder="1"/>
    <xf numFmtId="0" fontId="2" fillId="0" borderId="24" xfId="0" applyFont="1" applyBorder="1"/>
    <xf numFmtId="164" fontId="2" fillId="2" borderId="27" xfId="1" applyFont="1" applyFill="1" applyBorder="1"/>
    <xf numFmtId="164" fontId="2" fillId="6" borderId="14" xfId="1" applyFont="1" applyFill="1" applyBorder="1"/>
    <xf numFmtId="0" fontId="2" fillId="0" borderId="35" xfId="0" applyFont="1" applyBorder="1"/>
    <xf numFmtId="164" fontId="2" fillId="0" borderId="2" xfId="1" applyFont="1" applyBorder="1"/>
    <xf numFmtId="0" fontId="2" fillId="0" borderId="16" xfId="0" applyFont="1" applyBorder="1"/>
    <xf numFmtId="0" fontId="2" fillId="0" borderId="17" xfId="0" applyFont="1" applyBorder="1"/>
    <xf numFmtId="0" fontId="2" fillId="0" borderId="0" xfId="0" applyFont="1" applyBorder="1"/>
    <xf numFmtId="0" fontId="2" fillId="0" borderId="31" xfId="0" applyFont="1" applyBorder="1"/>
    <xf numFmtId="0" fontId="2" fillId="0" borderId="50" xfId="0" applyFont="1" applyBorder="1"/>
    <xf numFmtId="0" fontId="2" fillId="0" borderId="44" xfId="0" applyFont="1" applyBorder="1"/>
    <xf numFmtId="0" fontId="2" fillId="0" borderId="51" xfId="0" applyFont="1" applyBorder="1"/>
    <xf numFmtId="0" fontId="2" fillId="0" borderId="41" xfId="0" applyFont="1" applyBorder="1"/>
    <xf numFmtId="0" fontId="2" fillId="0" borderId="39" xfId="0" applyFont="1" applyBorder="1"/>
    <xf numFmtId="0" fontId="2" fillId="0" borderId="13" xfId="0" applyFont="1" applyBorder="1"/>
    <xf numFmtId="0" fontId="2" fillId="0" borderId="14" xfId="0" applyFont="1" applyBorder="1"/>
    <xf numFmtId="0" fontId="14" fillId="7" borderId="48" xfId="0" applyFont="1" applyFill="1" applyBorder="1" applyAlignment="1">
      <alignment horizontal="left" vertical="center" wrapText="1"/>
    </xf>
    <xf numFmtId="0" fontId="14" fillId="7" borderId="48" xfId="0" applyFont="1" applyFill="1" applyBorder="1"/>
    <xf numFmtId="164" fontId="2" fillId="0" borderId="34" xfId="1" applyFont="1" applyBorder="1"/>
    <xf numFmtId="0" fontId="2" fillId="0" borderId="12" xfId="0" applyFont="1" applyBorder="1"/>
    <xf numFmtId="0" fontId="2" fillId="0" borderId="33" xfId="0" applyFont="1" applyBorder="1"/>
    <xf numFmtId="164" fontId="2" fillId="6" borderId="25" xfId="1" applyFont="1" applyFill="1" applyBorder="1"/>
    <xf numFmtId="164" fontId="9" fillId="8" borderId="33" xfId="0" applyNumberFormat="1" applyFont="1" applyFill="1" applyBorder="1"/>
    <xf numFmtId="164" fontId="2" fillId="6" borderId="35" xfId="1" applyFont="1" applyFill="1" applyBorder="1"/>
    <xf numFmtId="0" fontId="8" fillId="0" borderId="47" xfId="0" applyFont="1" applyBorder="1" applyAlignment="1">
      <alignment horizontal="center" vertical="center"/>
    </xf>
    <xf numFmtId="0" fontId="8" fillId="0" borderId="18" xfId="0" applyFont="1" applyBorder="1" applyAlignment="1">
      <alignment horizontal="center" vertical="center"/>
    </xf>
    <xf numFmtId="0" fontId="2" fillId="2" borderId="1" xfId="0" applyFont="1" applyFill="1" applyBorder="1"/>
    <xf numFmtId="164" fontId="5" fillId="2" borderId="9" xfId="0" applyNumberFormat="1" applyFont="1" applyFill="1" applyBorder="1" applyAlignment="1">
      <alignment horizontal="center" vertical="center"/>
    </xf>
    <xf numFmtId="164" fontId="9" fillId="7" borderId="5" xfId="0" applyNumberFormat="1" applyFont="1" applyFill="1" applyBorder="1" applyAlignment="1">
      <alignment vertical="center"/>
    </xf>
    <xf numFmtId="164" fontId="5" fillId="2" borderId="28" xfId="1" applyFont="1" applyFill="1" applyBorder="1"/>
    <xf numFmtId="164" fontId="5" fillId="2" borderId="29" xfId="1" applyFont="1" applyFill="1" applyBorder="1"/>
    <xf numFmtId="164" fontId="9" fillId="7" borderId="32" xfId="1" applyFont="1" applyFill="1" applyBorder="1" applyAlignment="1">
      <alignment vertical="center"/>
    </xf>
    <xf numFmtId="164" fontId="5" fillId="2" borderId="32" xfId="1" applyFont="1" applyFill="1" applyBorder="1"/>
    <xf numFmtId="164" fontId="5" fillId="2" borderId="40" xfId="1" applyFont="1" applyFill="1" applyBorder="1"/>
    <xf numFmtId="164" fontId="2" fillId="0" borderId="17" xfId="1" applyFont="1" applyBorder="1"/>
    <xf numFmtId="0" fontId="6" fillId="0" borderId="1" xfId="0" applyFont="1" applyFill="1" applyBorder="1" applyAlignment="1">
      <alignment horizontal="center"/>
    </xf>
    <xf numFmtId="164" fontId="2" fillId="0" borderId="33" xfId="1" applyFont="1" applyBorder="1"/>
    <xf numFmtId="164" fontId="9" fillId="7" borderId="48" xfId="1" applyFont="1" applyFill="1" applyBorder="1"/>
    <xf numFmtId="0" fontId="2" fillId="2" borderId="41" xfId="0" applyFont="1" applyFill="1" applyBorder="1"/>
    <xf numFmtId="0" fontId="2" fillId="2" borderId="19" xfId="0" applyFont="1" applyFill="1" applyBorder="1"/>
    <xf numFmtId="164" fontId="5" fillId="2" borderId="1" xfId="1" applyFont="1" applyFill="1" applyBorder="1"/>
    <xf numFmtId="0" fontId="2" fillId="7" borderId="19" xfId="0" applyFont="1" applyFill="1" applyBorder="1"/>
    <xf numFmtId="164" fontId="5" fillId="2" borderId="58" xfId="1" applyFont="1" applyFill="1" applyBorder="1"/>
    <xf numFmtId="164" fontId="5" fillId="2" borderId="53" xfId="1" applyFont="1" applyFill="1" applyBorder="1"/>
    <xf numFmtId="0" fontId="4" fillId="8" borderId="15" xfId="0" applyFont="1" applyFill="1" applyBorder="1" applyAlignment="1">
      <alignment horizontal="center" vertical="center"/>
    </xf>
    <xf numFmtId="0" fontId="2" fillId="8" borderId="16" xfId="0" applyFont="1" applyFill="1" applyBorder="1" applyAlignment="1"/>
    <xf numFmtId="164" fontId="2" fillId="6" borderId="1" xfId="1" applyFont="1" applyFill="1" applyBorder="1" applyAlignment="1">
      <alignment horizontal="center" vertical="center"/>
    </xf>
    <xf numFmtId="164" fontId="9" fillId="7" borderId="5" xfId="0" applyNumberFormat="1" applyFont="1" applyFill="1" applyBorder="1" applyAlignment="1">
      <alignment horizontal="center" vertical="center"/>
    </xf>
    <xf numFmtId="164" fontId="5" fillId="2" borderId="20" xfId="1" applyFont="1" applyFill="1" applyBorder="1"/>
    <xf numFmtId="164" fontId="5" fillId="2" borderId="43" xfId="1" applyFont="1" applyFill="1" applyBorder="1"/>
    <xf numFmtId="164" fontId="5" fillId="2" borderId="38" xfId="1" applyFont="1" applyFill="1" applyBorder="1"/>
    <xf numFmtId="164" fontId="5" fillId="2" borderId="45" xfId="1" applyFont="1" applyFill="1" applyBorder="1"/>
    <xf numFmtId="164" fontId="5" fillId="2" borderId="46" xfId="1" applyFont="1" applyFill="1" applyBorder="1"/>
    <xf numFmtId="164" fontId="9" fillId="8" borderId="31" xfId="0" applyNumberFormat="1" applyFont="1" applyFill="1" applyBorder="1" applyAlignment="1">
      <alignment vertical="center"/>
    </xf>
    <xf numFmtId="164" fontId="16" fillId="4" borderId="1" xfId="0" applyNumberFormat="1" applyFont="1" applyFill="1" applyBorder="1" applyAlignment="1">
      <alignment vertical="center"/>
    </xf>
    <xf numFmtId="164" fontId="9" fillId="8" borderId="1" xfId="0" applyNumberFormat="1" applyFont="1" applyFill="1" applyBorder="1" applyAlignment="1">
      <alignment vertical="center"/>
    </xf>
    <xf numFmtId="164" fontId="9" fillId="7" borderId="1" xfId="1" applyFont="1" applyFill="1" applyBorder="1" applyAlignment="1">
      <alignment horizontal="center" vertical="center"/>
    </xf>
    <xf numFmtId="164" fontId="23" fillId="7" borderId="17" xfId="0" applyNumberFormat="1" applyFont="1" applyFill="1" applyBorder="1" applyAlignment="1">
      <alignment horizontal="center" vertical="center"/>
    </xf>
    <xf numFmtId="164" fontId="11" fillId="4" borderId="17" xfId="0" applyNumberFormat="1" applyFont="1" applyFill="1" applyBorder="1" applyAlignment="1">
      <alignment horizontal="center" vertical="center"/>
    </xf>
    <xf numFmtId="164" fontId="8" fillId="3" borderId="17" xfId="0" applyNumberFormat="1" applyFont="1" applyFill="1" applyBorder="1" applyAlignment="1">
      <alignment horizontal="center" vertical="center"/>
    </xf>
    <xf numFmtId="164" fontId="23" fillId="8" borderId="17" xfId="0" applyNumberFormat="1" applyFont="1" applyFill="1" applyBorder="1" applyAlignment="1">
      <alignment horizontal="center" vertical="center"/>
    </xf>
    <xf numFmtId="164" fontId="8" fillId="2" borderId="17" xfId="0" applyNumberFormat="1" applyFont="1" applyFill="1" applyBorder="1" applyAlignment="1">
      <alignment horizontal="center" vertical="center"/>
    </xf>
    <xf numFmtId="164" fontId="8" fillId="12" borderId="17" xfId="0" applyNumberFormat="1" applyFont="1" applyFill="1" applyBorder="1" applyAlignment="1">
      <alignment horizontal="center" vertical="center"/>
    </xf>
    <xf numFmtId="164" fontId="8" fillId="11" borderId="17" xfId="0" applyNumberFormat="1" applyFont="1" applyFill="1" applyBorder="1" applyAlignment="1">
      <alignment horizontal="center" vertical="center"/>
    </xf>
    <xf numFmtId="164" fontId="25" fillId="10" borderId="17" xfId="0" applyNumberFormat="1" applyFont="1" applyFill="1" applyBorder="1" applyAlignment="1">
      <alignment horizontal="center" vertical="center"/>
    </xf>
    <xf numFmtId="0" fontId="0" fillId="0" borderId="31" xfId="0" applyBorder="1"/>
    <xf numFmtId="0" fontId="19" fillId="0" borderId="0" xfId="0" applyFont="1" applyBorder="1" applyAlignment="1">
      <alignment horizontal="center" vertical="center"/>
    </xf>
    <xf numFmtId="0" fontId="19" fillId="12" borderId="2" xfId="0" applyFont="1" applyFill="1" applyBorder="1" applyAlignment="1">
      <alignment horizontal="center" vertical="center"/>
    </xf>
    <xf numFmtId="0" fontId="19" fillId="11" borderId="2" xfId="0" applyFont="1" applyFill="1" applyBorder="1" applyAlignment="1">
      <alignment horizontal="center" vertical="center"/>
    </xf>
    <xf numFmtId="0" fontId="22" fillId="10" borderId="2" xfId="0" applyFont="1" applyFill="1" applyBorder="1" applyAlignment="1">
      <alignment horizontal="center" vertical="center"/>
    </xf>
    <xf numFmtId="0" fontId="10" fillId="4" borderId="2" xfId="0" applyFont="1" applyFill="1" applyBorder="1" applyAlignment="1">
      <alignment horizontal="center" vertical="center"/>
    </xf>
    <xf numFmtId="0" fontId="8" fillId="2" borderId="2" xfId="0" applyFont="1" applyFill="1" applyBorder="1" applyAlignment="1">
      <alignment horizontal="center" vertical="center"/>
    </xf>
    <xf numFmtId="0" fontId="7" fillId="0" borderId="15" xfId="0" applyFont="1" applyBorder="1" applyAlignment="1">
      <alignment horizontal="center" vertical="center"/>
    </xf>
    <xf numFmtId="0" fontId="19" fillId="0" borderId="15" xfId="0" applyFont="1" applyBorder="1" applyAlignment="1">
      <alignment horizontal="center" vertical="center" wrapText="1"/>
    </xf>
    <xf numFmtId="0" fontId="0" fillId="0" borderId="0" xfId="0" applyBorder="1" applyAlignment="1">
      <alignment horizontal="center" vertical="center"/>
    </xf>
    <xf numFmtId="164" fontId="13" fillId="7" borderId="25" xfId="0" applyNumberFormat="1" applyFont="1" applyFill="1" applyBorder="1" applyAlignment="1">
      <alignment horizontal="center" vertical="center"/>
    </xf>
    <xf numFmtId="164" fontId="13" fillId="7" borderId="28" xfId="0" applyNumberFormat="1" applyFont="1" applyFill="1" applyBorder="1" applyAlignment="1">
      <alignment horizontal="center" vertical="center"/>
    </xf>
    <xf numFmtId="164" fontId="13" fillId="7" borderId="29" xfId="0" applyNumberFormat="1" applyFont="1" applyFill="1" applyBorder="1" applyAlignment="1">
      <alignment horizontal="center" vertical="center"/>
    </xf>
    <xf numFmtId="164" fontId="9" fillId="7" borderId="21" xfId="1" applyFont="1" applyFill="1" applyBorder="1"/>
    <xf numFmtId="0" fontId="2" fillId="8" borderId="1" xfId="0" applyFont="1" applyFill="1" applyBorder="1"/>
    <xf numFmtId="164" fontId="5" fillId="8" borderId="55" xfId="1" applyFont="1" applyFill="1" applyBorder="1"/>
    <xf numFmtId="164" fontId="5" fillId="8" borderId="42" xfId="1" applyFont="1" applyFill="1" applyBorder="1"/>
    <xf numFmtId="164" fontId="5" fillId="8" borderId="1" xfId="1" applyFont="1" applyFill="1" applyBorder="1"/>
    <xf numFmtId="164" fontId="5" fillId="8" borderId="48" xfId="1" applyFont="1" applyFill="1" applyBorder="1"/>
    <xf numFmtId="164" fontId="5" fillId="8" borderId="51" xfId="1" applyFont="1" applyFill="1" applyBorder="1"/>
    <xf numFmtId="164" fontId="5" fillId="8" borderId="21" xfId="1" applyFont="1" applyFill="1" applyBorder="1"/>
    <xf numFmtId="0" fontId="13" fillId="13" borderId="28" xfId="0" applyFont="1" applyFill="1" applyBorder="1" applyAlignment="1">
      <alignment horizontal="center" vertical="center"/>
    </xf>
    <xf numFmtId="0" fontId="5" fillId="4" borderId="48" xfId="0" applyFont="1" applyFill="1" applyBorder="1" applyAlignment="1">
      <alignment horizontal="left" vertical="center"/>
    </xf>
    <xf numFmtId="0" fontId="6" fillId="4" borderId="48" xfId="0" applyFont="1" applyFill="1" applyBorder="1" applyAlignment="1">
      <alignment horizontal="center"/>
    </xf>
    <xf numFmtId="0" fontId="27" fillId="4" borderId="48" xfId="0" applyFont="1" applyFill="1" applyBorder="1" applyAlignment="1">
      <alignment horizontal="left" vertical="center" wrapText="1"/>
    </xf>
    <xf numFmtId="0" fontId="9" fillId="8" borderId="48" xfId="0" applyFont="1" applyFill="1" applyBorder="1" applyAlignment="1">
      <alignment horizontal="left" vertical="center"/>
    </xf>
    <xf numFmtId="0" fontId="15" fillId="8" borderId="48" xfId="0" applyFont="1" applyFill="1" applyBorder="1" applyAlignment="1">
      <alignment horizontal="center"/>
    </xf>
    <xf numFmtId="0" fontId="14" fillId="8" borderId="48" xfId="0" applyFont="1" applyFill="1" applyBorder="1"/>
    <xf numFmtId="164" fontId="0" fillId="0" borderId="0" xfId="0" applyNumberFormat="1"/>
    <xf numFmtId="0" fontId="2" fillId="2" borderId="35" xfId="0"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32" xfId="0" applyFont="1" applyFill="1" applyBorder="1" applyAlignment="1">
      <alignment horizontal="center" vertical="center"/>
    </xf>
    <xf numFmtId="164" fontId="9" fillId="8" borderId="32" xfId="1" applyFont="1" applyFill="1" applyBorder="1" applyAlignment="1">
      <alignment horizontal="center" vertical="center"/>
    </xf>
    <xf numFmtId="164" fontId="9" fillId="8" borderId="1" xfId="1" applyFont="1" applyFill="1" applyBorder="1" applyAlignment="1">
      <alignment horizontal="center" vertical="center"/>
    </xf>
    <xf numFmtId="0" fontId="15" fillId="7" borderId="48" xfId="0" applyFont="1" applyFill="1" applyBorder="1" applyAlignment="1">
      <alignment horizontal="center" vertical="center"/>
    </xf>
    <xf numFmtId="164" fontId="2" fillId="8" borderId="46" xfId="1" applyFont="1" applyFill="1" applyBorder="1" applyAlignment="1">
      <alignment vertical="center"/>
    </xf>
    <xf numFmtId="164" fontId="2" fillId="8" borderId="46" xfId="1" applyFont="1" applyFill="1" applyBorder="1"/>
    <xf numFmtId="0" fontId="7" fillId="0" borderId="39" xfId="0" applyFont="1" applyBorder="1"/>
    <xf numFmtId="0" fontId="3" fillId="0" borderId="39" xfId="0" applyFont="1" applyBorder="1"/>
    <xf numFmtId="0" fontId="13" fillId="8" borderId="39" xfId="0" applyFont="1" applyFill="1" applyBorder="1"/>
    <xf numFmtId="0" fontId="18" fillId="15" borderId="35" xfId="0" applyFont="1" applyFill="1" applyBorder="1" applyAlignment="1">
      <alignment horizontal="center" vertical="center" wrapText="1"/>
    </xf>
    <xf numFmtId="0" fontId="27" fillId="9" borderId="48" xfId="0" applyFont="1" applyFill="1" applyBorder="1" applyAlignment="1">
      <alignment horizontal="left" vertical="center" wrapText="1"/>
    </xf>
    <xf numFmtId="164" fontId="16" fillId="9" borderId="21" xfId="0" applyNumberFormat="1" applyFont="1" applyFill="1" applyBorder="1" applyAlignment="1">
      <alignment vertical="center"/>
    </xf>
    <xf numFmtId="0" fontId="10" fillId="9" borderId="2" xfId="0" applyFont="1" applyFill="1" applyBorder="1" applyAlignment="1">
      <alignment horizontal="center" vertical="center"/>
    </xf>
    <xf numFmtId="164" fontId="11" fillId="9" borderId="17" xfId="0" applyNumberFormat="1" applyFont="1" applyFill="1" applyBorder="1" applyAlignment="1">
      <alignment horizontal="center" vertical="center"/>
    </xf>
    <xf numFmtId="0" fontId="5" fillId="9" borderId="15" xfId="0" applyFont="1" applyFill="1" applyBorder="1" applyAlignment="1">
      <alignment horizontal="center" vertical="center" wrapText="1"/>
    </xf>
    <xf numFmtId="164" fontId="9" fillId="7" borderId="7" xfId="0" applyNumberFormat="1" applyFont="1" applyFill="1" applyBorder="1" applyAlignment="1">
      <alignment vertical="center"/>
    </xf>
    <xf numFmtId="0" fontId="30" fillId="7" borderId="39" xfId="0" applyFont="1" applyFill="1" applyBorder="1" applyAlignment="1">
      <alignment horizontal="center" vertical="center"/>
    </xf>
    <xf numFmtId="0" fontId="3" fillId="14" borderId="39" xfId="0" applyFont="1" applyFill="1" applyBorder="1" applyAlignment="1">
      <alignment horizontal="center"/>
    </xf>
    <xf numFmtId="0" fontId="29" fillId="4" borderId="39" xfId="0" applyFont="1" applyFill="1" applyBorder="1" applyAlignment="1">
      <alignment horizontal="center" vertical="center"/>
    </xf>
    <xf numFmtId="0" fontId="32" fillId="4" borderId="39" xfId="0" applyFont="1" applyFill="1" applyBorder="1" applyAlignment="1">
      <alignment horizontal="center" vertical="center"/>
    </xf>
    <xf numFmtId="0" fontId="31" fillId="4" borderId="39" xfId="0" applyFont="1" applyFill="1" applyBorder="1" applyAlignment="1">
      <alignment horizontal="center" vertical="center"/>
    </xf>
    <xf numFmtId="0" fontId="32" fillId="2" borderId="34" xfId="0" applyFont="1" applyFill="1" applyBorder="1" applyAlignment="1">
      <alignment horizontal="center" vertical="center"/>
    </xf>
    <xf numFmtId="0" fontId="3" fillId="2" borderId="39" xfId="0" applyFont="1" applyFill="1" applyBorder="1" applyAlignment="1">
      <alignment horizontal="center" vertical="center"/>
    </xf>
    <xf numFmtId="0" fontId="12" fillId="2" borderId="39" xfId="0" applyFont="1" applyFill="1" applyBorder="1" applyAlignment="1">
      <alignment horizontal="center" vertical="center"/>
    </xf>
    <xf numFmtId="164" fontId="5" fillId="4" borderId="1" xfId="1" applyFont="1" applyFill="1" applyBorder="1" applyAlignment="1">
      <alignment horizontal="center" vertical="center"/>
    </xf>
    <xf numFmtId="164" fontId="5" fillId="4" borderId="28" xfId="1" applyFont="1" applyFill="1" applyBorder="1" applyAlignment="1">
      <alignment vertical="center"/>
    </xf>
    <xf numFmtId="164" fontId="5" fillId="4" borderId="1" xfId="1" applyFont="1" applyFill="1" applyBorder="1" applyAlignment="1">
      <alignment vertical="center"/>
    </xf>
    <xf numFmtId="164" fontId="5" fillId="9" borderId="1" xfId="1" applyFont="1" applyFill="1" applyBorder="1" applyAlignment="1">
      <alignment horizontal="center" vertical="center"/>
    </xf>
    <xf numFmtId="164" fontId="5" fillId="9" borderId="32" xfId="1" applyFont="1" applyFill="1" applyBorder="1" applyAlignment="1">
      <alignment vertical="center"/>
    </xf>
    <xf numFmtId="164" fontId="5" fillId="9" borderId="28" xfId="1" applyFont="1" applyFill="1" applyBorder="1" applyAlignment="1">
      <alignment vertical="center"/>
    </xf>
    <xf numFmtId="164" fontId="5" fillId="9" borderId="20" xfId="1" applyFont="1" applyFill="1" applyBorder="1" applyAlignment="1">
      <alignment vertical="center"/>
    </xf>
    <xf numFmtId="164" fontId="5" fillId="8" borderId="1" xfId="1" applyFont="1" applyFill="1" applyBorder="1" applyAlignment="1">
      <alignment horizontal="center" vertical="center"/>
    </xf>
    <xf numFmtId="164" fontId="5" fillId="4" borderId="19" xfId="1" applyFont="1" applyFill="1" applyBorder="1" applyAlignment="1">
      <alignment horizontal="center" vertical="center"/>
    </xf>
    <xf numFmtId="164" fontId="5" fillId="9" borderId="43" xfId="1" applyFont="1" applyFill="1" applyBorder="1" applyAlignment="1">
      <alignment vertical="center"/>
    </xf>
    <xf numFmtId="164" fontId="5" fillId="4" borderId="25" xfId="1" applyFont="1" applyFill="1" applyBorder="1" applyAlignment="1">
      <alignment vertical="center"/>
    </xf>
    <xf numFmtId="164" fontId="5" fillId="4" borderId="29" xfId="1" applyFont="1" applyFill="1" applyBorder="1" applyAlignment="1">
      <alignment vertical="center"/>
    </xf>
    <xf numFmtId="164" fontId="5" fillId="4" borderId="19" xfId="1" applyFont="1" applyFill="1" applyBorder="1" applyAlignment="1">
      <alignment vertical="center"/>
    </xf>
    <xf numFmtId="164" fontId="9" fillId="8" borderId="31" xfId="1" applyFont="1" applyFill="1" applyBorder="1" applyAlignment="1">
      <alignment vertical="center"/>
    </xf>
    <xf numFmtId="164" fontId="5" fillId="4" borderId="42" xfId="1" applyFont="1" applyFill="1" applyBorder="1" applyAlignment="1">
      <alignment vertical="center"/>
    </xf>
    <xf numFmtId="164" fontId="5" fillId="4" borderId="2" xfId="1" applyFont="1" applyFill="1" applyBorder="1" applyAlignment="1">
      <alignment vertical="center"/>
    </xf>
    <xf numFmtId="164" fontId="9" fillId="8" borderId="19" xfId="1" applyFont="1" applyFill="1" applyBorder="1" applyAlignment="1">
      <alignment horizontal="center" vertical="center"/>
    </xf>
    <xf numFmtId="164" fontId="9" fillId="8" borderId="32" xfId="1" applyFont="1" applyFill="1" applyBorder="1" applyAlignment="1">
      <alignment vertical="center"/>
    </xf>
    <xf numFmtId="164" fontId="5" fillId="9" borderId="55" xfId="1" applyFont="1" applyFill="1" applyBorder="1" applyAlignment="1">
      <alignment vertical="center"/>
    </xf>
    <xf numFmtId="164" fontId="5" fillId="4" borderId="38" xfId="1" applyFont="1" applyFill="1" applyBorder="1" applyAlignment="1">
      <alignment vertical="center"/>
    </xf>
    <xf numFmtId="164" fontId="9" fillId="8" borderId="28" xfId="1" applyFont="1" applyFill="1" applyBorder="1" applyAlignment="1">
      <alignment horizontal="center" vertical="center"/>
    </xf>
    <xf numFmtId="164" fontId="9" fillId="8" borderId="29" xfId="1" applyFont="1" applyFill="1" applyBorder="1" applyAlignment="1">
      <alignment vertical="center"/>
    </xf>
    <xf numFmtId="164" fontId="5" fillId="9" borderId="42" xfId="1" applyFont="1" applyFill="1" applyBorder="1" applyAlignment="1">
      <alignment vertical="center"/>
    </xf>
    <xf numFmtId="164" fontId="9" fillId="7" borderId="38" xfId="1" applyFont="1" applyFill="1" applyBorder="1" applyAlignment="1">
      <alignment vertical="center"/>
    </xf>
    <xf numFmtId="164" fontId="9" fillId="7" borderId="45" xfId="1" applyFont="1" applyFill="1" applyBorder="1" applyAlignment="1">
      <alignment vertical="center"/>
    </xf>
    <xf numFmtId="164" fontId="9" fillId="7" borderId="29" xfId="1" applyFont="1" applyFill="1" applyBorder="1" applyAlignment="1">
      <alignment vertical="center"/>
    </xf>
    <xf numFmtId="164" fontId="14" fillId="7" borderId="52" xfId="1" applyFont="1" applyFill="1" applyBorder="1"/>
    <xf numFmtId="164" fontId="14" fillId="7" borderId="54" xfId="1" applyFont="1" applyFill="1" applyBorder="1"/>
    <xf numFmtId="164" fontId="14" fillId="7" borderId="1" xfId="1" applyFont="1" applyFill="1" applyBorder="1"/>
    <xf numFmtId="164" fontId="5" fillId="8" borderId="28" xfId="1" applyFont="1" applyFill="1" applyBorder="1" applyAlignment="1">
      <alignment horizontal="center" vertical="center"/>
    </xf>
    <xf numFmtId="164" fontId="2" fillId="2" borderId="1" xfId="1" applyFont="1" applyFill="1" applyBorder="1"/>
    <xf numFmtId="164" fontId="5" fillId="7" borderId="1" xfId="1" applyFont="1" applyFill="1" applyBorder="1" applyAlignment="1">
      <alignment horizontal="center" vertical="center"/>
    </xf>
    <xf numFmtId="0" fontId="38" fillId="0" borderId="36" xfId="0" applyFont="1" applyBorder="1"/>
    <xf numFmtId="0" fontId="19" fillId="0" borderId="39" xfId="0" applyFont="1" applyBorder="1"/>
    <xf numFmtId="0" fontId="38" fillId="0" borderId="0" xfId="0" applyFont="1"/>
    <xf numFmtId="0" fontId="14" fillId="0" borderId="41" xfId="0" applyFont="1" applyBorder="1"/>
    <xf numFmtId="164" fontId="14" fillId="7" borderId="1" xfId="1" applyFont="1" applyFill="1" applyBorder="1" applyAlignment="1">
      <alignment horizontal="center" vertical="center"/>
    </xf>
    <xf numFmtId="164" fontId="14" fillId="7" borderId="51" xfId="1" applyFont="1" applyFill="1" applyBorder="1" applyAlignment="1">
      <alignment horizontal="center" vertical="center"/>
    </xf>
    <xf numFmtId="164" fontId="14" fillId="7" borderId="21" xfId="1" applyFont="1" applyFill="1" applyBorder="1" applyAlignment="1">
      <alignment horizontal="center" vertical="center"/>
    </xf>
    <xf numFmtId="0" fontId="2" fillId="0" borderId="0" xfId="0" applyFont="1"/>
    <xf numFmtId="0" fontId="27" fillId="17" borderId="48" xfId="0" applyFont="1" applyFill="1" applyBorder="1" applyAlignment="1">
      <alignment horizontal="left" vertical="center" wrapText="1"/>
    </xf>
    <xf numFmtId="164" fontId="5" fillId="17" borderId="1" xfId="1" applyFont="1" applyFill="1" applyBorder="1" applyAlignment="1">
      <alignment horizontal="center" vertical="center"/>
    </xf>
    <xf numFmtId="164" fontId="5" fillId="17" borderId="19" xfId="1" applyFont="1" applyFill="1" applyBorder="1" applyAlignment="1">
      <alignment horizontal="center" vertical="center"/>
    </xf>
    <xf numFmtId="164" fontId="5" fillId="17" borderId="28" xfId="1" applyFont="1" applyFill="1" applyBorder="1" applyAlignment="1">
      <alignment horizontal="center" vertical="center"/>
    </xf>
    <xf numFmtId="164" fontId="5" fillId="17" borderId="28" xfId="1" applyFont="1" applyFill="1" applyBorder="1" applyAlignment="1">
      <alignment vertical="center"/>
    </xf>
    <xf numFmtId="164" fontId="27" fillId="17" borderId="1" xfId="0" applyNumberFormat="1" applyFont="1" applyFill="1" applyBorder="1" applyAlignment="1">
      <alignment vertical="center"/>
    </xf>
    <xf numFmtId="164" fontId="28" fillId="8" borderId="38" xfId="1" applyFont="1" applyFill="1" applyBorder="1" applyAlignment="1">
      <alignment horizontal="center" vertical="center"/>
    </xf>
    <xf numFmtId="164" fontId="5" fillId="4" borderId="1" xfId="1" applyFont="1" applyFill="1" applyBorder="1"/>
    <xf numFmtId="164" fontId="5" fillId="4" borderId="48" xfId="1" applyFont="1" applyFill="1" applyBorder="1"/>
    <xf numFmtId="164" fontId="2" fillId="4" borderId="0" xfId="0" applyNumberFormat="1" applyFont="1" applyFill="1" applyBorder="1"/>
    <xf numFmtId="164" fontId="5" fillId="4" borderId="50" xfId="1" applyFont="1" applyFill="1" applyBorder="1"/>
    <xf numFmtId="164" fontId="5" fillId="4" borderId="22" xfId="1" applyFont="1" applyFill="1" applyBorder="1"/>
    <xf numFmtId="164" fontId="5" fillId="17" borderId="21" xfId="1" applyFont="1" applyFill="1" applyBorder="1"/>
    <xf numFmtId="164" fontId="2" fillId="17" borderId="0" xfId="0" applyNumberFormat="1" applyFont="1" applyFill="1" applyBorder="1"/>
    <xf numFmtId="164" fontId="2" fillId="17" borderId="46" xfId="1" applyFont="1" applyFill="1" applyBorder="1" applyAlignment="1">
      <alignment vertical="center"/>
    </xf>
    <xf numFmtId="164" fontId="2" fillId="9" borderId="38" xfId="1" applyFont="1" applyFill="1" applyBorder="1" applyAlignment="1">
      <alignment horizontal="center" vertical="center"/>
    </xf>
    <xf numFmtId="164" fontId="2" fillId="4" borderId="46" xfId="1" applyFont="1" applyFill="1" applyBorder="1"/>
    <xf numFmtId="164" fontId="9" fillId="8" borderId="32" xfId="1" applyFont="1" applyFill="1" applyBorder="1"/>
    <xf numFmtId="164" fontId="9" fillId="8" borderId="28" xfId="1" applyFont="1" applyFill="1" applyBorder="1"/>
    <xf numFmtId="164" fontId="9" fillId="8" borderId="20" xfId="1" applyFont="1" applyFill="1" applyBorder="1"/>
    <xf numFmtId="0" fontId="40" fillId="17" borderId="2" xfId="0" applyFont="1" applyFill="1" applyBorder="1" applyAlignment="1">
      <alignment horizontal="center" vertical="center"/>
    </xf>
    <xf numFmtId="0" fontId="21" fillId="8" borderId="2" xfId="0" applyFont="1" applyFill="1" applyBorder="1" applyAlignment="1">
      <alignment horizontal="center" vertical="center"/>
    </xf>
    <xf numFmtId="164" fontId="25" fillId="17" borderId="17" xfId="0" applyNumberFormat="1" applyFont="1" applyFill="1" applyBorder="1" applyAlignment="1">
      <alignment horizontal="center" vertical="center"/>
    </xf>
    <xf numFmtId="164" fontId="9" fillId="7" borderId="38" xfId="1" applyFont="1" applyFill="1" applyBorder="1"/>
    <xf numFmtId="164" fontId="9" fillId="7" borderId="45" xfId="1" applyFont="1" applyFill="1" applyBorder="1"/>
    <xf numFmtId="164" fontId="9" fillId="7" borderId="46" xfId="1" applyFont="1" applyFill="1" applyBorder="1"/>
    <xf numFmtId="0" fontId="28" fillId="8" borderId="1" xfId="0" applyFont="1" applyFill="1" applyBorder="1"/>
    <xf numFmtId="0" fontId="28" fillId="8" borderId="19" xfId="0" applyFont="1" applyFill="1" applyBorder="1"/>
    <xf numFmtId="164" fontId="9" fillId="8" borderId="1" xfId="1" applyFont="1" applyFill="1" applyBorder="1" applyAlignment="1">
      <alignment vertical="center"/>
    </xf>
    <xf numFmtId="164" fontId="9" fillId="8" borderId="48" xfId="1" applyFont="1" applyFill="1" applyBorder="1"/>
    <xf numFmtId="164" fontId="9" fillId="8" borderId="1" xfId="1" applyFont="1" applyFill="1" applyBorder="1"/>
    <xf numFmtId="0" fontId="2" fillId="0" borderId="34" xfId="0" applyFont="1" applyBorder="1"/>
    <xf numFmtId="0" fontId="2" fillId="0" borderId="39" xfId="0" applyFont="1" applyFill="1" applyBorder="1"/>
    <xf numFmtId="0" fontId="5" fillId="17" borderId="51" xfId="0" applyFont="1" applyFill="1" applyBorder="1" applyAlignment="1">
      <alignment horizontal="left" vertical="center"/>
    </xf>
    <xf numFmtId="0" fontId="0" fillId="0" borderId="14" xfId="0" applyBorder="1"/>
    <xf numFmtId="0" fontId="0" fillId="0" borderId="1" xfId="0" applyBorder="1"/>
    <xf numFmtId="164" fontId="0" fillId="0" borderId="1" xfId="1" applyFont="1" applyBorder="1"/>
    <xf numFmtId="164" fontId="0" fillId="0" borderId="1" xfId="0" applyNumberFormat="1" applyBorder="1"/>
    <xf numFmtId="164" fontId="0" fillId="0" borderId="7" xfId="1" applyFont="1" applyBorder="1"/>
    <xf numFmtId="0" fontId="0" fillId="0" borderId="7" xfId="0" applyBorder="1"/>
    <xf numFmtId="0" fontId="0" fillId="0" borderId="8" xfId="0" applyBorder="1"/>
    <xf numFmtId="0" fontId="0" fillId="0" borderId="9" xfId="0" applyBorder="1"/>
    <xf numFmtId="164" fontId="0" fillId="0" borderId="9" xfId="0" applyNumberFormat="1" applyBorder="1"/>
    <xf numFmtId="0" fontId="0" fillId="0" borderId="10" xfId="0" applyBorder="1"/>
    <xf numFmtId="0" fontId="5" fillId="8" borderId="1" xfId="0" applyFont="1" applyFill="1" applyBorder="1" applyAlignment="1">
      <alignment horizontal="center" vertical="center"/>
    </xf>
    <xf numFmtId="164" fontId="2" fillId="4" borderId="1" xfId="1" applyFont="1" applyFill="1" applyBorder="1"/>
    <xf numFmtId="164" fontId="27" fillId="17" borderId="1" xfId="1" applyFont="1" applyFill="1" applyBorder="1" applyAlignment="1">
      <alignment horizontal="center" vertical="center"/>
    </xf>
    <xf numFmtId="0" fontId="29" fillId="0" borderId="2" xfId="0" applyFont="1" applyBorder="1" applyAlignment="1">
      <alignment horizontal="center" vertical="center" wrapText="1"/>
    </xf>
    <xf numFmtId="164" fontId="2" fillId="8" borderId="1" xfId="1" applyFont="1" applyFill="1" applyBorder="1" applyAlignment="1">
      <alignment horizontal="center" vertical="center"/>
    </xf>
    <xf numFmtId="0" fontId="15" fillId="7" borderId="2" xfId="0" applyFont="1" applyFill="1" applyBorder="1" applyAlignment="1">
      <alignment horizontal="center" vertical="center"/>
    </xf>
    <xf numFmtId="0" fontId="14" fillId="7" borderId="2" xfId="0" applyFont="1" applyFill="1" applyBorder="1" applyAlignment="1">
      <alignment vertical="center"/>
    </xf>
    <xf numFmtId="0" fontId="6" fillId="0" borderId="2" xfId="0" applyFont="1" applyBorder="1" applyAlignment="1">
      <alignment horizontal="center" vertical="center" wrapText="1"/>
    </xf>
    <xf numFmtId="0" fontId="2" fillId="0" borderId="2" xfId="0" applyFont="1" applyBorder="1" applyAlignment="1">
      <alignment horizontal="center" vertical="center"/>
    </xf>
    <xf numFmtId="164" fontId="19" fillId="12" borderId="17" xfId="0" applyNumberFormat="1" applyFont="1" applyFill="1" applyBorder="1" applyAlignment="1">
      <alignment horizontal="center" vertical="center"/>
    </xf>
    <xf numFmtId="164" fontId="19" fillId="11" borderId="17" xfId="0" applyNumberFormat="1" applyFont="1" applyFill="1" applyBorder="1" applyAlignment="1">
      <alignment horizontal="center" vertical="center"/>
    </xf>
    <xf numFmtId="164" fontId="22" fillId="10" borderId="17" xfId="0" applyNumberFormat="1" applyFont="1" applyFill="1" applyBorder="1" applyAlignment="1">
      <alignment horizontal="center" vertical="center"/>
    </xf>
    <xf numFmtId="164" fontId="15" fillId="7" borderId="17" xfId="0" applyNumberFormat="1" applyFont="1" applyFill="1" applyBorder="1" applyAlignment="1">
      <alignment horizontal="center" vertical="center"/>
    </xf>
    <xf numFmtId="164" fontId="21" fillId="8" borderId="17" xfId="0" applyNumberFormat="1" applyFont="1" applyFill="1" applyBorder="1" applyAlignment="1">
      <alignment horizontal="center" vertical="center"/>
    </xf>
    <xf numFmtId="164" fontId="40" fillId="17" borderId="17" xfId="0" applyNumberFormat="1" applyFont="1" applyFill="1" applyBorder="1" applyAlignment="1">
      <alignment horizontal="center" vertical="center"/>
    </xf>
    <xf numFmtId="164" fontId="10" fillId="4" borderId="17" xfId="0" applyNumberFormat="1" applyFont="1" applyFill="1" applyBorder="1" applyAlignment="1">
      <alignment horizontal="center" vertical="center"/>
    </xf>
    <xf numFmtId="164" fontId="10" fillId="9" borderId="17" xfId="0" applyNumberFormat="1" applyFont="1" applyFill="1" applyBorder="1" applyAlignment="1">
      <alignment horizontal="center" vertical="center"/>
    </xf>
    <xf numFmtId="164" fontId="8" fillId="3" borderId="17" xfId="0" applyNumberFormat="1" applyFont="1" applyFill="1" applyBorder="1" applyAlignment="1">
      <alignment vertical="center"/>
    </xf>
    <xf numFmtId="164" fontId="23" fillId="7" borderId="17" xfId="0" applyNumberFormat="1" applyFont="1" applyFill="1" applyBorder="1" applyAlignment="1">
      <alignment vertical="center"/>
    </xf>
    <xf numFmtId="0" fontId="8" fillId="0" borderId="31" xfId="0" applyFont="1" applyBorder="1" applyAlignment="1">
      <alignment horizontal="center" vertical="center"/>
    </xf>
    <xf numFmtId="0" fontId="2" fillId="2" borderId="5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0" borderId="31" xfId="0" applyFont="1" applyBorder="1"/>
    <xf numFmtId="0" fontId="2" fillId="0" borderId="31" xfId="0" applyFont="1" applyFill="1" applyBorder="1"/>
    <xf numFmtId="164" fontId="0" fillId="0" borderId="19" xfId="1" applyFont="1" applyBorder="1"/>
    <xf numFmtId="0" fontId="0" fillId="0" borderId="30" xfId="0" applyBorder="1" applyAlignment="1">
      <alignment horizontal="center"/>
    </xf>
    <xf numFmtId="0" fontId="0" fillId="0" borderId="22" xfId="0" applyBorder="1"/>
    <xf numFmtId="0" fontId="0" fillId="0" borderId="23" xfId="0" applyBorder="1"/>
    <xf numFmtId="164" fontId="0" fillId="0" borderId="22" xfId="0" applyNumberFormat="1" applyBorder="1"/>
    <xf numFmtId="0" fontId="0" fillId="0" borderId="30" xfId="0" applyBorder="1" applyAlignment="1">
      <alignment horizontal="center" vertical="center"/>
    </xf>
    <xf numFmtId="0" fontId="0" fillId="0" borderId="6" xfId="0" applyBorder="1" applyAlignment="1">
      <alignment horizontal="center" vertical="center"/>
    </xf>
    <xf numFmtId="164" fontId="0" fillId="0" borderId="7" xfId="0" applyNumberFormat="1" applyBorder="1"/>
    <xf numFmtId="0" fontId="0" fillId="0" borderId="8" xfId="0" applyFill="1" applyBorder="1" applyAlignment="1">
      <alignment horizontal="center" vertical="center"/>
    </xf>
    <xf numFmtId="164" fontId="0" fillId="0" borderId="22" xfId="1" applyFont="1" applyBorder="1"/>
    <xf numFmtId="0" fontId="2" fillId="0" borderId="63" xfId="0" applyFont="1" applyBorder="1"/>
    <xf numFmtId="0" fontId="2" fillId="0" borderId="3" xfId="0" applyFont="1" applyBorder="1"/>
    <xf numFmtId="0" fontId="2" fillId="0" borderId="4" xfId="0" applyFont="1" applyFill="1" applyBorder="1"/>
    <xf numFmtId="0" fontId="2" fillId="0" borderId="25" xfId="0" applyFont="1" applyBorder="1" applyAlignment="1">
      <alignment horizontal="center" vertical="center"/>
    </xf>
    <xf numFmtId="0" fontId="2" fillId="0" borderId="29" xfId="0" applyFont="1" applyFill="1" applyBorder="1" applyAlignment="1">
      <alignment horizontal="center" vertical="center"/>
    </xf>
    <xf numFmtId="164" fontId="0" fillId="0" borderId="23" xfId="0" applyNumberFormat="1" applyBorder="1"/>
    <xf numFmtId="164" fontId="0" fillId="9" borderId="7" xfId="0" applyNumberFormat="1" applyFill="1" applyBorder="1"/>
    <xf numFmtId="164" fontId="0" fillId="0" borderId="21" xfId="0" applyNumberFormat="1" applyBorder="1"/>
    <xf numFmtId="0" fontId="0" fillId="0" borderId="21" xfId="0" applyBorder="1"/>
    <xf numFmtId="164" fontId="0" fillId="0" borderId="63" xfId="0" applyNumberFormat="1" applyBorder="1"/>
    <xf numFmtId="164" fontId="0" fillId="0" borderId="3" xfId="0" applyNumberFormat="1" applyBorder="1"/>
    <xf numFmtId="164" fontId="2" fillId="0" borderId="4" xfId="0" applyNumberFormat="1" applyFont="1" applyBorder="1"/>
    <xf numFmtId="164" fontId="2" fillId="0" borderId="1" xfId="1" applyFont="1" applyBorder="1"/>
    <xf numFmtId="164" fontId="2" fillId="0" borderId="63" xfId="0" applyNumberFormat="1" applyFont="1" applyBorder="1"/>
    <xf numFmtId="164" fontId="0" fillId="9" borderId="4" xfId="0" applyNumberFormat="1" applyFill="1" applyBorder="1"/>
    <xf numFmtId="0" fontId="0" fillId="0" borderId="6" xfId="0" applyBorder="1" applyAlignment="1">
      <alignment horizontal="center"/>
    </xf>
    <xf numFmtId="164" fontId="0" fillId="0" borderId="31" xfId="0" applyNumberFormat="1" applyBorder="1"/>
    <xf numFmtId="0" fontId="0" fillId="0" borderId="24" xfId="0" applyBorder="1"/>
    <xf numFmtId="0" fontId="2" fillId="0" borderId="15" xfId="0" applyFont="1" applyBorder="1" applyAlignment="1">
      <alignment horizontal="center" vertical="center"/>
    </xf>
    <xf numFmtId="0" fontId="2" fillId="0" borderId="5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64" fontId="0" fillId="0" borderId="44" xfId="1" applyFont="1" applyBorder="1"/>
    <xf numFmtId="0" fontId="45" fillId="8" borderId="2" xfId="0" applyFont="1" applyFill="1" applyBorder="1" applyAlignment="1">
      <alignment vertical="center"/>
    </xf>
    <xf numFmtId="0" fontId="2" fillId="0" borderId="64" xfId="0" applyFont="1" applyBorder="1" applyAlignment="1">
      <alignment horizontal="center" vertical="center"/>
    </xf>
    <xf numFmtId="0" fontId="2" fillId="0" borderId="53" xfId="0" applyFont="1" applyBorder="1" applyAlignment="1">
      <alignment horizontal="center" vertical="center"/>
    </xf>
    <xf numFmtId="0" fontId="2" fillId="0" borderId="14" xfId="0" applyFont="1" applyBorder="1" applyAlignment="1">
      <alignment horizontal="center" vertical="center"/>
    </xf>
    <xf numFmtId="0" fontId="35" fillId="3" borderId="2" xfId="0" applyFont="1" applyFill="1" applyBorder="1" applyAlignment="1">
      <alignment vertical="center"/>
    </xf>
    <xf numFmtId="0" fontId="6" fillId="0" borderId="21" xfId="0" applyFont="1" applyFill="1" applyBorder="1" applyAlignment="1">
      <alignment horizontal="center"/>
    </xf>
    <xf numFmtId="0" fontId="6" fillId="6" borderId="22" xfId="0" applyFont="1" applyFill="1" applyBorder="1" applyAlignment="1">
      <alignment horizontal="center"/>
    </xf>
    <xf numFmtId="0" fontId="6" fillId="6" borderId="53" xfId="0" applyFont="1" applyFill="1" applyBorder="1" applyAlignment="1">
      <alignment horizontal="center"/>
    </xf>
    <xf numFmtId="164" fontId="2" fillId="0" borderId="31" xfId="1" applyFont="1" applyBorder="1"/>
    <xf numFmtId="164" fontId="2" fillId="0" borderId="39" xfId="1" applyFont="1" applyBorder="1"/>
    <xf numFmtId="0" fontId="6" fillId="6" borderId="58" xfId="0" applyFont="1" applyFill="1" applyBorder="1" applyAlignment="1">
      <alignment horizontal="center"/>
    </xf>
    <xf numFmtId="0" fontId="5" fillId="0" borderId="50" xfId="0" applyFont="1" applyBorder="1"/>
    <xf numFmtId="164" fontId="2" fillId="2" borderId="22" xfId="1" applyFont="1" applyFill="1" applyBorder="1"/>
    <xf numFmtId="0" fontId="0" fillId="2" borderId="21" xfId="0" applyFill="1" applyBorder="1"/>
    <xf numFmtId="0" fontId="0" fillId="0" borderId="36" xfId="0" applyFill="1" applyBorder="1"/>
    <xf numFmtId="164" fontId="2" fillId="0" borderId="0" xfId="1" applyFont="1" applyFill="1" applyBorder="1"/>
    <xf numFmtId="164" fontId="9" fillId="0" borderId="0" xfId="0" applyNumberFormat="1" applyFont="1" applyFill="1" applyBorder="1"/>
    <xf numFmtId="0" fontId="2" fillId="19" borderId="39" xfId="0" applyFont="1" applyFill="1" applyBorder="1"/>
    <xf numFmtId="164" fontId="9" fillId="19" borderId="1" xfId="1" applyFont="1" applyFill="1" applyBorder="1"/>
    <xf numFmtId="164" fontId="9" fillId="19" borderId="7" xfId="1" applyFont="1" applyFill="1" applyBorder="1"/>
    <xf numFmtId="0" fontId="39" fillId="17" borderId="60" xfId="0" applyFont="1" applyFill="1" applyBorder="1" applyAlignment="1">
      <alignment horizontal="left" vertical="center" wrapText="1"/>
    </xf>
    <xf numFmtId="0" fontId="36" fillId="0" borderId="32" xfId="0" applyFont="1" applyBorder="1" applyAlignment="1"/>
    <xf numFmtId="0" fontId="36" fillId="0" borderId="48" xfId="0" applyFont="1" applyBorder="1" applyAlignment="1"/>
    <xf numFmtId="164" fontId="11" fillId="17" borderId="15" xfId="1" applyFont="1" applyFill="1" applyBorder="1" applyAlignment="1">
      <alignment horizontal="center" vertical="center"/>
    </xf>
    <xf numFmtId="164" fontId="11" fillId="17" borderId="17" xfId="1" applyFont="1" applyFill="1" applyBorder="1" applyAlignment="1">
      <alignment horizontal="center" vertical="center"/>
    </xf>
    <xf numFmtId="0" fontId="43" fillId="8" borderId="15" xfId="0" applyFont="1" applyFill="1" applyBorder="1" applyAlignment="1">
      <alignment horizontal="center" vertic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11" fillId="4" borderId="60" xfId="0" applyFont="1" applyFill="1" applyBorder="1" applyAlignment="1">
      <alignment horizontal="center" vertical="center"/>
    </xf>
    <xf numFmtId="0" fontId="36" fillId="0" borderId="32" xfId="0" applyFont="1" applyBorder="1" applyAlignment="1">
      <alignment horizontal="center" vertical="center"/>
    </xf>
    <xf numFmtId="0" fontId="36" fillId="0" borderId="48" xfId="0" applyFont="1" applyBorder="1" applyAlignment="1">
      <alignment horizontal="center" vertical="center"/>
    </xf>
    <xf numFmtId="164" fontId="11" fillId="4" borderId="15" xfId="1" applyFont="1" applyFill="1" applyBorder="1" applyAlignment="1">
      <alignment horizontal="center" vertical="center"/>
    </xf>
    <xf numFmtId="164" fontId="11" fillId="4" borderId="17" xfId="1" applyFont="1" applyFill="1" applyBorder="1" applyAlignment="1">
      <alignment horizontal="center" vertical="center"/>
    </xf>
    <xf numFmtId="0" fontId="24" fillId="9" borderId="60" xfId="0" applyFont="1" applyFill="1" applyBorder="1" applyAlignment="1">
      <alignment horizontal="center" vertical="center"/>
    </xf>
    <xf numFmtId="0" fontId="20" fillId="9" borderId="32" xfId="0" applyFont="1" applyFill="1" applyBorder="1" applyAlignment="1">
      <alignment horizontal="center" vertical="center"/>
    </xf>
    <xf numFmtId="0" fontId="20" fillId="9" borderId="48" xfId="0" applyFont="1" applyFill="1" applyBorder="1" applyAlignment="1">
      <alignment horizontal="center" vertical="center"/>
    </xf>
    <xf numFmtId="164" fontId="11" fillId="9" borderId="15" xfId="1" applyFont="1" applyFill="1" applyBorder="1" applyAlignment="1">
      <alignment horizontal="center" vertical="center"/>
    </xf>
    <xf numFmtId="0" fontId="0" fillId="0" borderId="17" xfId="0" applyBorder="1" applyAlignment="1">
      <alignment horizontal="center" vertical="center"/>
    </xf>
    <xf numFmtId="0" fontId="6" fillId="2" borderId="62" xfId="0" applyFont="1" applyFill="1" applyBorder="1" applyAlignment="1">
      <alignment horizontal="center" vertical="center"/>
    </xf>
    <xf numFmtId="0" fontId="37" fillId="0" borderId="40" xfId="0" applyFont="1" applyBorder="1" applyAlignment="1">
      <alignment horizontal="center" vertical="center"/>
    </xf>
    <xf numFmtId="0" fontId="37" fillId="0" borderId="49" xfId="0" applyFont="1" applyBorder="1" applyAlignment="1">
      <alignment horizontal="center" vertical="center"/>
    </xf>
    <xf numFmtId="164" fontId="13" fillId="8" borderId="15" xfId="1" applyFont="1" applyFill="1" applyBorder="1" applyAlignment="1">
      <alignment horizontal="center" vertical="center"/>
    </xf>
    <xf numFmtId="164" fontId="13" fillId="8" borderId="17" xfId="1" applyFont="1" applyFill="1" applyBorder="1" applyAlignment="1">
      <alignment horizontal="center" vertical="center"/>
    </xf>
    <xf numFmtId="164" fontId="13" fillId="7" borderId="15" xfId="1" applyFont="1" applyFill="1" applyBorder="1" applyAlignment="1">
      <alignment horizontal="center" vertical="center"/>
    </xf>
    <xf numFmtId="164" fontId="13" fillId="7" borderId="17" xfId="1" applyFont="1" applyFill="1" applyBorder="1" applyAlignment="1">
      <alignment horizontal="center" vertical="center"/>
    </xf>
    <xf numFmtId="0" fontId="14" fillId="7" borderId="26" xfId="0" applyFont="1" applyFill="1" applyBorder="1" applyAlignment="1">
      <alignment horizontal="center" vertical="center"/>
    </xf>
    <xf numFmtId="0" fontId="26" fillId="7" borderId="61" xfId="0" applyFont="1" applyFill="1" applyBorder="1" applyAlignment="1">
      <alignment horizontal="center"/>
    </xf>
    <xf numFmtId="0" fontId="26" fillId="7" borderId="47" xfId="0" applyFont="1" applyFill="1" applyBorder="1" applyAlignment="1">
      <alignment horizontal="center"/>
    </xf>
    <xf numFmtId="0" fontId="13" fillId="8" borderId="60" xfId="0" applyFont="1" applyFill="1" applyBorder="1" applyAlignment="1">
      <alignment horizontal="center" vertical="center"/>
    </xf>
    <xf numFmtId="0" fontId="13" fillId="8" borderId="32" xfId="0" applyFont="1" applyFill="1" applyBorder="1" applyAlignment="1">
      <alignment horizontal="center"/>
    </xf>
    <xf numFmtId="0" fontId="13" fillId="8" borderId="48" xfId="0" applyFont="1" applyFill="1" applyBorder="1" applyAlignment="1">
      <alignment horizontal="center"/>
    </xf>
    <xf numFmtId="164" fontId="11" fillId="2" borderId="15" xfId="1" applyFont="1" applyFill="1" applyBorder="1" applyAlignment="1">
      <alignment horizontal="center" vertical="center"/>
    </xf>
    <xf numFmtId="164" fontId="11" fillId="2" borderId="17" xfId="1" applyFont="1" applyFill="1" applyBorder="1" applyAlignment="1">
      <alignment horizontal="center" vertical="center"/>
    </xf>
    <xf numFmtId="0" fontId="6" fillId="3" borderId="12" xfId="0" applyFont="1" applyFill="1" applyBorder="1" applyAlignment="1">
      <alignment horizontal="center"/>
    </xf>
    <xf numFmtId="0" fontId="14" fillId="19" borderId="15" xfId="0" applyFont="1" applyFill="1" applyBorder="1" applyAlignment="1">
      <alignment horizontal="center" vertical="center"/>
    </xf>
    <xf numFmtId="0" fontId="14" fillId="19" borderId="57"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57" xfId="0" applyFont="1" applyFill="1" applyBorder="1" applyAlignment="1">
      <alignment horizontal="center" vertical="center"/>
    </xf>
    <xf numFmtId="0" fontId="3" fillId="0" borderId="15" xfId="0" applyFont="1" applyBorder="1" applyAlignment="1">
      <alignment horizontal="center" vertical="center"/>
    </xf>
    <xf numFmtId="0" fontId="0" fillId="0" borderId="16" xfId="0" applyBorder="1" applyAlignment="1">
      <alignment vertical="center"/>
    </xf>
    <xf numFmtId="0" fontId="6" fillId="3" borderId="0" xfId="0" applyFont="1" applyFill="1" applyBorder="1" applyAlignment="1">
      <alignment horizontal="center"/>
    </xf>
    <xf numFmtId="0" fontId="0" fillId="0" borderId="16" xfId="0" applyBorder="1" applyAlignment="1">
      <alignment horizontal="center"/>
    </xf>
    <xf numFmtId="0" fontId="6" fillId="3" borderId="55" xfId="0" applyFont="1" applyFill="1" applyBorder="1" applyAlignment="1">
      <alignment horizontal="center"/>
    </xf>
    <xf numFmtId="0" fontId="3" fillId="0" borderId="15" xfId="0" applyFont="1" applyBorder="1" applyAlignment="1">
      <alignment horizontal="center"/>
    </xf>
    <xf numFmtId="0" fontId="17" fillId="0" borderId="11" xfId="0" applyFont="1" applyBorder="1" applyAlignment="1">
      <alignment horizontal="center" vertical="center"/>
    </xf>
    <xf numFmtId="0" fontId="17" fillId="0" borderId="12" xfId="0" applyFont="1" applyBorder="1" applyAlignment="1"/>
    <xf numFmtId="0" fontId="0" fillId="0" borderId="12" xfId="0" applyBorder="1" applyAlignment="1"/>
    <xf numFmtId="0" fontId="0" fillId="0" borderId="33" xfId="0" applyBorder="1" applyAlignment="1"/>
    <xf numFmtId="0" fontId="17"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12" fillId="6" borderId="37" xfId="0" applyFont="1" applyFill="1" applyBorder="1" applyAlignment="1">
      <alignment horizontal="center" vertical="center" wrapText="1"/>
    </xf>
    <xf numFmtId="0" fontId="41" fillId="0" borderId="46" xfId="0" applyFont="1" applyBorder="1" applyAlignment="1">
      <alignment horizontal="center" vertical="center" wrapText="1"/>
    </xf>
    <xf numFmtId="0" fontId="9" fillId="7" borderId="42" xfId="0" applyFont="1" applyFill="1" applyBorder="1" applyAlignment="1">
      <alignment horizontal="center" vertical="center"/>
    </xf>
    <xf numFmtId="0" fontId="9" fillId="7" borderId="39" xfId="0" applyFont="1" applyFill="1" applyBorder="1" applyAlignment="1">
      <alignment horizontal="center" vertical="center"/>
    </xf>
    <xf numFmtId="0" fontId="0" fillId="0" borderId="39" xfId="0" applyBorder="1" applyAlignment="1">
      <alignment horizontal="center" vertical="center"/>
    </xf>
    <xf numFmtId="0" fontId="0" fillId="0" borderId="45" xfId="0" applyBorder="1" applyAlignment="1">
      <alignment horizontal="center" vertical="center"/>
    </xf>
    <xf numFmtId="0" fontId="9" fillId="7" borderId="41" xfId="0" applyFont="1" applyFill="1" applyBorder="1" applyAlignment="1">
      <alignment horizontal="center" vertical="center"/>
    </xf>
    <xf numFmtId="0" fontId="2" fillId="0" borderId="56" xfId="0" applyFont="1" applyBorder="1" applyAlignment="1">
      <alignment horizontal="center" vertical="center"/>
    </xf>
    <xf numFmtId="0" fontId="0" fillId="0" borderId="56" xfId="0" applyBorder="1" applyAlignment="1">
      <alignment horizontal="center" vertical="center"/>
    </xf>
    <xf numFmtId="0" fontId="0" fillId="0" borderId="44" xfId="0" applyBorder="1" applyAlignment="1">
      <alignment horizontal="center" vertical="center"/>
    </xf>
    <xf numFmtId="0" fontId="29" fillId="9" borderId="15" xfId="0" applyFont="1" applyFill="1" applyBorder="1" applyAlignment="1">
      <alignment horizontal="center" vertical="center" wrapText="1"/>
    </xf>
    <xf numFmtId="0" fontId="29" fillId="9" borderId="16" xfId="0" applyFont="1" applyFill="1" applyBorder="1" applyAlignment="1">
      <alignment horizontal="center" vertical="center" wrapText="1"/>
    </xf>
    <xf numFmtId="0" fontId="29" fillId="9" borderId="17"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0" fillId="0" borderId="35" xfId="0" applyBorder="1" applyAlignment="1">
      <alignment horizontal="center" vertical="center" wrapText="1"/>
    </xf>
    <xf numFmtId="0" fontId="4" fillId="14" borderId="15" xfId="0" applyFont="1" applyFill="1" applyBorder="1" applyAlignment="1">
      <alignment horizontal="center" vertical="center"/>
    </xf>
    <xf numFmtId="0" fontId="4" fillId="14" borderId="16" xfId="0" applyFont="1" applyFill="1" applyBorder="1" applyAlignment="1">
      <alignment horizontal="center" vertical="center"/>
    </xf>
    <xf numFmtId="0" fontId="4" fillId="14" borderId="17" xfId="0" applyFont="1" applyFill="1" applyBorder="1" applyAlignment="1">
      <alignment horizontal="center" vertical="center"/>
    </xf>
    <xf numFmtId="0" fontId="35" fillId="0" borderId="34" xfId="0" applyFont="1" applyBorder="1" applyAlignment="1">
      <alignment horizontal="center" vertical="center" wrapText="1"/>
    </xf>
    <xf numFmtId="0" fontId="34" fillId="0" borderId="35" xfId="0" applyFont="1" applyBorder="1" applyAlignment="1"/>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0" fillId="0" borderId="16" xfId="0" applyBorder="1" applyAlignment="1">
      <alignment horizontal="center" vertical="center"/>
    </xf>
    <xf numFmtId="0" fontId="23" fillId="16" borderId="11" xfId="0" applyFont="1" applyFill="1" applyBorder="1" applyAlignment="1">
      <alignment horizontal="center" vertical="center" wrapText="1"/>
    </xf>
    <xf numFmtId="0" fontId="23" fillId="16" borderId="36" xfId="0" applyFont="1" applyFill="1" applyBorder="1" applyAlignment="1">
      <alignment horizontal="center" vertical="center" wrapText="1"/>
    </xf>
    <xf numFmtId="0" fontId="23" fillId="16" borderId="59"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26" fillId="7" borderId="59"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46" fillId="5" borderId="15" xfId="0" applyFont="1" applyFill="1" applyBorder="1" applyAlignment="1">
      <alignment horizontal="center" vertical="center" wrapText="1"/>
    </xf>
    <xf numFmtId="0" fontId="48" fillId="5" borderId="16" xfId="0" applyFont="1" applyFill="1" applyBorder="1" applyAlignment="1">
      <alignment horizontal="center" vertical="center" wrapText="1"/>
    </xf>
    <xf numFmtId="0" fontId="48" fillId="5" borderId="17"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7" fillId="8" borderId="33" xfId="0" applyFont="1" applyFill="1" applyBorder="1" applyAlignment="1">
      <alignment horizontal="center" vertical="center" wrapText="1"/>
    </xf>
    <xf numFmtId="0" fontId="47" fillId="18" borderId="15" xfId="0" applyFont="1" applyFill="1" applyBorder="1" applyAlignment="1">
      <alignment horizontal="center" vertical="center" wrapText="1"/>
    </xf>
    <xf numFmtId="0" fontId="47" fillId="18" borderId="16" xfId="0" applyFont="1" applyFill="1" applyBorder="1" applyAlignment="1">
      <alignment horizontal="center" vertical="center" wrapText="1"/>
    </xf>
    <xf numFmtId="0" fontId="47" fillId="18" borderId="17"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164" fontId="0" fillId="0" borderId="39" xfId="0" applyNumberFormat="1" applyBorder="1" applyAlignment="1">
      <alignment horizontal="center" vertical="center" wrapText="1"/>
    </xf>
    <xf numFmtId="0" fontId="0" fillId="0" borderId="39" xfId="0" applyBorder="1" applyAlignment="1">
      <alignment horizontal="center" vertical="center" wrapText="1"/>
    </xf>
    <xf numFmtId="164" fontId="0" fillId="0" borderId="34" xfId="0" applyNumberFormat="1" applyBorder="1" applyAlignment="1">
      <alignment horizontal="center" vertical="center" wrapText="1"/>
    </xf>
    <xf numFmtId="0" fontId="5" fillId="9" borderId="11" xfId="0" applyFont="1" applyFill="1" applyBorder="1" applyAlignment="1">
      <alignment horizontal="center" vertical="center"/>
    </xf>
    <xf numFmtId="0" fontId="5" fillId="9" borderId="12" xfId="0" applyFont="1" applyFill="1" applyBorder="1" applyAlignment="1">
      <alignment horizontal="center" vertical="center"/>
    </xf>
    <xf numFmtId="0" fontId="5" fillId="9" borderId="33" xfId="0" applyFont="1" applyFill="1" applyBorder="1" applyAlignment="1">
      <alignment horizontal="center" vertical="center"/>
    </xf>
    <xf numFmtId="0" fontId="31" fillId="9" borderId="11" xfId="0" applyFont="1" applyFill="1" applyBorder="1" applyAlignment="1">
      <alignment horizontal="center" vertical="center"/>
    </xf>
    <xf numFmtId="0" fontId="44" fillId="9" borderId="12" xfId="0" applyFont="1" applyFill="1" applyBorder="1" applyAlignment="1">
      <alignment horizontal="center" vertical="center"/>
    </xf>
    <xf numFmtId="0" fontId="44" fillId="9" borderId="33" xfId="0" applyFont="1" applyFill="1" applyBorder="1" applyAlignment="1">
      <alignment horizontal="center" vertical="center"/>
    </xf>
    <xf numFmtId="0" fontId="44" fillId="9" borderId="59" xfId="0" applyFont="1" applyFill="1" applyBorder="1" applyAlignment="1">
      <alignment horizontal="center" vertical="center"/>
    </xf>
    <xf numFmtId="0" fontId="44" fillId="9" borderId="13" xfId="0" applyFont="1" applyFill="1" applyBorder="1" applyAlignment="1">
      <alignment horizontal="center" vertical="center"/>
    </xf>
    <xf numFmtId="0" fontId="44" fillId="9" borderId="14"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66FF33"/>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6"/>
  <sheetViews>
    <sheetView topLeftCell="N58" workbookViewId="0">
      <selection activeCell="Q60" sqref="Q60:R60"/>
    </sheetView>
  </sheetViews>
  <sheetFormatPr defaultRowHeight="14.4" x14ac:dyDescent="0.3"/>
  <cols>
    <col min="1" max="1" width="4.5546875" customWidth="1"/>
    <col min="2" max="2" width="3" bestFit="1" customWidth="1"/>
    <col min="3" max="3" width="37.44140625" customWidth="1"/>
    <col min="4" max="4" width="11.88671875" customWidth="1"/>
    <col min="5" max="5" width="20.5546875" customWidth="1"/>
    <col min="6" max="10" width="14.88671875" customWidth="1"/>
    <col min="11" max="11" width="15.5546875" customWidth="1"/>
    <col min="12" max="12" width="15.88671875" customWidth="1"/>
    <col min="13" max="13" width="16.5546875" customWidth="1"/>
    <col min="14" max="14" width="15.5546875" customWidth="1"/>
    <col min="15" max="15" width="16" customWidth="1"/>
    <col min="16" max="16" width="15.6640625" bestFit="1" customWidth="1"/>
    <col min="17" max="17" width="14.88671875" customWidth="1"/>
    <col min="18" max="18" width="16.44140625" customWidth="1"/>
    <col min="19" max="19" width="39" customWidth="1"/>
    <col min="20" max="20" width="12.109375" customWidth="1"/>
  </cols>
  <sheetData>
    <row r="1" spans="1:20" ht="15" thickBot="1" x14ac:dyDescent="0.35">
      <c r="A1" s="1"/>
      <c r="B1" s="2"/>
      <c r="C1" s="2"/>
      <c r="D1" s="2"/>
      <c r="E1" s="2"/>
      <c r="F1" s="2"/>
      <c r="G1" s="2"/>
      <c r="H1" s="2"/>
      <c r="I1" s="2"/>
      <c r="J1" s="2"/>
      <c r="K1" s="2"/>
      <c r="L1" s="2"/>
      <c r="M1" s="2"/>
      <c r="N1" s="2"/>
      <c r="O1" s="2"/>
      <c r="P1" s="2"/>
    </row>
    <row r="2" spans="1:20" ht="93" customHeight="1" thickBot="1" x14ac:dyDescent="1.7">
      <c r="A2" s="8"/>
      <c r="B2" s="345" t="s">
        <v>91</v>
      </c>
      <c r="C2" s="346"/>
      <c r="D2" s="346"/>
      <c r="E2" s="346"/>
      <c r="F2" s="346"/>
      <c r="G2" s="346"/>
      <c r="H2" s="346"/>
      <c r="I2" s="346"/>
      <c r="J2" s="346"/>
      <c r="K2" s="346"/>
      <c r="L2" s="346"/>
      <c r="M2" s="346"/>
      <c r="N2" s="346"/>
      <c r="O2" s="346"/>
      <c r="P2" s="346"/>
      <c r="Q2" s="347"/>
      <c r="R2" s="348"/>
      <c r="S2" s="40"/>
    </row>
    <row r="3" spans="1:20" ht="93" thickBot="1" x14ac:dyDescent="0.35">
      <c r="A3" s="8"/>
      <c r="B3" s="64"/>
      <c r="C3" s="65"/>
      <c r="D3" s="65"/>
      <c r="E3" s="227" t="s">
        <v>124</v>
      </c>
      <c r="F3" s="349" t="s">
        <v>92</v>
      </c>
      <c r="G3" s="350"/>
      <c r="H3" s="350"/>
      <c r="I3" s="350"/>
      <c r="J3" s="350"/>
      <c r="K3" s="350"/>
      <c r="L3" s="350"/>
      <c r="M3" s="350"/>
      <c r="N3" s="350"/>
      <c r="O3" s="350"/>
      <c r="P3" s="350"/>
      <c r="Q3" s="350"/>
      <c r="R3" s="351"/>
      <c r="S3" s="28"/>
    </row>
    <row r="4" spans="1:20" ht="34.200000000000003" thickBot="1" x14ac:dyDescent="0.35">
      <c r="A4" s="8"/>
      <c r="B4" s="16"/>
      <c r="C4" s="44" t="s">
        <v>14</v>
      </c>
      <c r="D4" s="45" t="s">
        <v>1</v>
      </c>
      <c r="E4" s="3" t="s">
        <v>48</v>
      </c>
      <c r="F4" s="244" t="s">
        <v>47</v>
      </c>
      <c r="G4" s="244" t="s">
        <v>46</v>
      </c>
      <c r="H4" s="244" t="s">
        <v>45</v>
      </c>
      <c r="I4" s="244" t="s">
        <v>44</v>
      </c>
      <c r="J4" s="244" t="s">
        <v>43</v>
      </c>
      <c r="K4" s="244" t="s">
        <v>42</v>
      </c>
      <c r="L4" s="244" t="s">
        <v>41</v>
      </c>
      <c r="M4" s="244" t="s">
        <v>18</v>
      </c>
      <c r="N4" s="114" t="s">
        <v>17</v>
      </c>
      <c r="O4" s="245" t="s">
        <v>16</v>
      </c>
      <c r="P4" s="114" t="s">
        <v>15</v>
      </c>
      <c r="Q4" s="352" t="s">
        <v>126</v>
      </c>
      <c r="R4" s="353"/>
      <c r="S4" s="28"/>
    </row>
    <row r="5" spans="1:20" ht="18" x14ac:dyDescent="0.35">
      <c r="A5" s="8"/>
      <c r="B5" s="354">
        <v>1</v>
      </c>
      <c r="C5" s="37" t="s">
        <v>0</v>
      </c>
      <c r="D5" s="358">
        <v>37040500</v>
      </c>
      <c r="E5" s="76">
        <v>770</v>
      </c>
      <c r="F5" s="203">
        <v>1120</v>
      </c>
      <c r="G5" s="203">
        <v>3420</v>
      </c>
      <c r="H5" s="203">
        <v>3420</v>
      </c>
      <c r="I5" s="203">
        <v>3420</v>
      </c>
      <c r="J5" s="203">
        <v>3420</v>
      </c>
      <c r="K5" s="203">
        <v>3420</v>
      </c>
      <c r="L5" s="203">
        <v>3420</v>
      </c>
      <c r="M5" s="203">
        <v>3420</v>
      </c>
      <c r="N5" s="204">
        <v>3420</v>
      </c>
      <c r="O5" s="205">
        <v>3420</v>
      </c>
      <c r="P5" s="205">
        <v>3420</v>
      </c>
      <c r="Q5" s="66">
        <v>0</v>
      </c>
      <c r="R5" s="131">
        <f>P5</f>
        <v>3420</v>
      </c>
      <c r="S5" s="28"/>
    </row>
    <row r="6" spans="1:20" ht="18" x14ac:dyDescent="0.35">
      <c r="A6" s="8"/>
      <c r="B6" s="355"/>
      <c r="C6" s="112" t="s">
        <v>26</v>
      </c>
      <c r="D6" s="359"/>
      <c r="E6" s="118">
        <v>-60532</v>
      </c>
      <c r="F6" s="118">
        <v>-888</v>
      </c>
      <c r="G6" s="118">
        <v>-10010</v>
      </c>
      <c r="H6" s="118">
        <v>0</v>
      </c>
      <c r="I6" s="118">
        <v>-35939</v>
      </c>
      <c r="J6" s="118">
        <v>-77692</v>
      </c>
      <c r="K6" s="118">
        <v>-96424</v>
      </c>
      <c r="L6" s="118">
        <v>-85611</v>
      </c>
      <c r="M6" s="197">
        <v>-90558</v>
      </c>
      <c r="N6" s="198">
        <v>-94081</v>
      </c>
      <c r="O6" s="199">
        <v>-77136</v>
      </c>
      <c r="P6" s="199">
        <v>-5111</v>
      </c>
      <c r="Q6" s="66">
        <v>0</v>
      </c>
      <c r="R6" s="131">
        <f>P6</f>
        <v>-5111</v>
      </c>
      <c r="S6" s="28" t="s">
        <v>108</v>
      </c>
    </row>
    <row r="7" spans="1:20" ht="36" x14ac:dyDescent="0.3">
      <c r="A7" s="8"/>
      <c r="B7" s="355"/>
      <c r="C7" s="36" t="s">
        <v>37</v>
      </c>
      <c r="D7" s="359"/>
      <c r="E7" s="76">
        <v>-17226</v>
      </c>
      <c r="F7" s="76">
        <v>3541</v>
      </c>
      <c r="G7" s="76">
        <v>76997</v>
      </c>
      <c r="H7" s="76">
        <v>-83458</v>
      </c>
      <c r="I7" s="76">
        <v>-17617</v>
      </c>
      <c r="J7" s="76">
        <v>-58508</v>
      </c>
      <c r="K7" s="76">
        <v>-32981</v>
      </c>
      <c r="L7" s="76">
        <v>25888</v>
      </c>
      <c r="M7" s="51">
        <v>53460</v>
      </c>
      <c r="N7" s="14">
        <v>48282</v>
      </c>
      <c r="O7" s="15">
        <v>75587</v>
      </c>
      <c r="P7" s="15">
        <v>34088</v>
      </c>
      <c r="Q7" s="228">
        <v>0</v>
      </c>
      <c r="R7" s="131">
        <f>P7</f>
        <v>34088</v>
      </c>
      <c r="S7" s="28"/>
    </row>
    <row r="8" spans="1:20" ht="15.6" x14ac:dyDescent="0.3">
      <c r="A8" s="8"/>
      <c r="B8" s="355"/>
      <c r="C8" s="126" t="s">
        <v>86</v>
      </c>
      <c r="D8" s="359"/>
      <c r="E8" s="143">
        <v>99708</v>
      </c>
      <c r="F8" s="143">
        <f>92262-52088</f>
        <v>40174</v>
      </c>
      <c r="G8" s="143">
        <v>70438</v>
      </c>
      <c r="H8" s="143">
        <f>67845-39392</f>
        <v>28453</v>
      </c>
      <c r="I8" s="143">
        <v>70343</v>
      </c>
      <c r="J8" s="143">
        <f>87751-53421</f>
        <v>34330</v>
      </c>
      <c r="K8" s="143">
        <v>21618</v>
      </c>
      <c r="L8" s="143">
        <v>14076</v>
      </c>
      <c r="M8" s="144">
        <v>13893</v>
      </c>
      <c r="N8" s="145">
        <v>18187</v>
      </c>
      <c r="O8" s="146">
        <v>18815</v>
      </c>
      <c r="P8" s="146">
        <v>24189</v>
      </c>
      <c r="Q8" s="186"/>
      <c r="R8" s="73"/>
      <c r="S8" s="28" t="s">
        <v>105</v>
      </c>
      <c r="T8" s="179" t="s">
        <v>104</v>
      </c>
    </row>
    <row r="9" spans="1:20" ht="19.5" customHeight="1" x14ac:dyDescent="0.3">
      <c r="A9" s="8"/>
      <c r="B9" s="355"/>
      <c r="C9" s="126" t="s">
        <v>87</v>
      </c>
      <c r="D9" s="359"/>
      <c r="E9" s="147"/>
      <c r="F9" s="143">
        <f>52088</f>
        <v>52088</v>
      </c>
      <c r="G9" s="147"/>
      <c r="H9" s="143">
        <v>39392</v>
      </c>
      <c r="I9" s="147"/>
      <c r="J9" s="143">
        <v>53421</v>
      </c>
      <c r="K9" s="143">
        <v>52903</v>
      </c>
      <c r="L9" s="143">
        <v>37258</v>
      </c>
      <c r="M9" s="158">
        <v>45226</v>
      </c>
      <c r="N9" s="162">
        <v>51789</v>
      </c>
      <c r="O9" s="149">
        <v>60144</v>
      </c>
      <c r="P9" s="149">
        <v>65424</v>
      </c>
      <c r="Q9" s="195">
        <f>SUM(P8:P9)</f>
        <v>89613</v>
      </c>
      <c r="R9" s="73"/>
      <c r="S9" s="28" t="s">
        <v>101</v>
      </c>
      <c r="T9" s="179" t="s">
        <v>104</v>
      </c>
    </row>
    <row r="10" spans="1:20" ht="15.6" x14ac:dyDescent="0.3">
      <c r="A10" s="8"/>
      <c r="B10" s="356"/>
      <c r="C10" s="180" t="s">
        <v>78</v>
      </c>
      <c r="D10" s="360"/>
      <c r="E10" s="181"/>
      <c r="F10" s="181"/>
      <c r="G10" s="181">
        <v>18045</v>
      </c>
      <c r="H10" s="181">
        <v>23323</v>
      </c>
      <c r="I10" s="181">
        <v>24194</v>
      </c>
      <c r="J10" s="181">
        <v>22698</v>
      </c>
      <c r="K10" s="181">
        <v>22698</v>
      </c>
      <c r="L10" s="182">
        <v>22698</v>
      </c>
      <c r="M10" s="183">
        <v>22698</v>
      </c>
      <c r="N10" s="183">
        <v>22698</v>
      </c>
      <c r="O10" s="169"/>
      <c r="P10" s="169"/>
      <c r="Q10" s="120"/>
      <c r="R10" s="73"/>
      <c r="S10" s="28" t="s">
        <v>97</v>
      </c>
    </row>
    <row r="11" spans="1:20" ht="15.6" x14ac:dyDescent="0.3">
      <c r="A11" s="8"/>
      <c r="B11" s="356"/>
      <c r="C11" s="180" t="s">
        <v>80</v>
      </c>
      <c r="D11" s="360"/>
      <c r="E11" s="115"/>
      <c r="F11" s="115"/>
      <c r="G11" s="118"/>
      <c r="H11" s="118"/>
      <c r="I11" s="118"/>
      <c r="J11" s="118"/>
      <c r="K11" s="118"/>
      <c r="L11" s="156"/>
      <c r="M11" s="183">
        <v>72719</v>
      </c>
      <c r="N11" s="183">
        <v>101719</v>
      </c>
      <c r="O11" s="183">
        <v>92719</v>
      </c>
      <c r="P11" s="183">
        <v>142719</v>
      </c>
      <c r="Q11" s="120"/>
      <c r="R11" s="73"/>
      <c r="S11" s="28" t="s">
        <v>99</v>
      </c>
    </row>
    <row r="12" spans="1:20" ht="15.6" x14ac:dyDescent="0.3">
      <c r="A12" s="8"/>
      <c r="B12" s="356"/>
      <c r="C12" s="180" t="s">
        <v>82</v>
      </c>
      <c r="D12" s="360"/>
      <c r="E12" s="115"/>
      <c r="F12" s="115"/>
      <c r="G12" s="118"/>
      <c r="H12" s="118"/>
      <c r="I12" s="118"/>
      <c r="J12" s="118"/>
      <c r="K12" s="118"/>
      <c r="L12" s="156"/>
      <c r="M12" s="160"/>
      <c r="N12" s="160"/>
      <c r="O12" s="160"/>
      <c r="P12" s="183">
        <v>42987</v>
      </c>
      <c r="Q12" s="120"/>
      <c r="R12" s="73"/>
      <c r="S12" s="28" t="s">
        <v>100</v>
      </c>
    </row>
    <row r="13" spans="1:20" ht="15.6" x14ac:dyDescent="0.3">
      <c r="A13" s="8"/>
      <c r="B13" s="356"/>
      <c r="C13" s="180" t="s">
        <v>79</v>
      </c>
      <c r="D13" s="360"/>
      <c r="E13" s="181">
        <v>21176</v>
      </c>
      <c r="F13" s="181">
        <v>30364</v>
      </c>
      <c r="G13" s="181">
        <v>52866</v>
      </c>
      <c r="H13" s="181">
        <v>29746</v>
      </c>
      <c r="I13" s="181">
        <v>53379</v>
      </c>
      <c r="J13" s="181">
        <v>66949</v>
      </c>
      <c r="K13" s="181">
        <v>93421</v>
      </c>
      <c r="L13" s="182">
        <v>52313</v>
      </c>
      <c r="M13" s="184">
        <v>80363</v>
      </c>
      <c r="N13" s="184">
        <v>112672</v>
      </c>
      <c r="O13" s="184">
        <v>107990</v>
      </c>
      <c r="P13" s="184">
        <v>87411</v>
      </c>
      <c r="Q13" s="120"/>
      <c r="R13" s="73"/>
      <c r="S13" s="28" t="s">
        <v>99</v>
      </c>
    </row>
    <row r="14" spans="1:20" ht="16.5" customHeight="1" thickBot="1" x14ac:dyDescent="0.35">
      <c r="A14" s="8"/>
      <c r="B14" s="356"/>
      <c r="C14" s="180" t="s">
        <v>84</v>
      </c>
      <c r="D14" s="360"/>
      <c r="E14" s="226">
        <v>10091</v>
      </c>
      <c r="F14" s="115"/>
      <c r="G14" s="118"/>
      <c r="H14" s="118"/>
      <c r="I14" s="118"/>
      <c r="J14" s="118"/>
      <c r="K14" s="118"/>
      <c r="L14" s="117"/>
      <c r="M14" s="184">
        <f>10000</f>
        <v>10000</v>
      </c>
      <c r="N14" s="184">
        <f>10000+49413+20106</f>
        <v>79519</v>
      </c>
      <c r="O14" s="184">
        <f>5522+40413+14863</f>
        <v>60798</v>
      </c>
      <c r="P14" s="184">
        <f>5522+40413+20106</f>
        <v>66041</v>
      </c>
      <c r="Q14" s="194">
        <f>SUM(P11:P14)</f>
        <v>339158</v>
      </c>
      <c r="R14" s="73"/>
      <c r="S14" s="28" t="s">
        <v>103</v>
      </c>
      <c r="T14" s="179" t="s">
        <v>104</v>
      </c>
    </row>
    <row r="15" spans="1:20" ht="15.6" x14ac:dyDescent="0.3">
      <c r="A15" s="8"/>
      <c r="B15" s="356"/>
      <c r="C15" s="109" t="s">
        <v>85</v>
      </c>
      <c r="D15" s="360"/>
      <c r="E15" s="224"/>
      <c r="F15" s="224"/>
      <c r="G15" s="140">
        <v>13438</v>
      </c>
      <c r="H15" s="140">
        <v>44519</v>
      </c>
      <c r="I15" s="140">
        <v>36633</v>
      </c>
      <c r="J15" s="140">
        <v>56030</v>
      </c>
      <c r="K15" s="140">
        <v>51893</v>
      </c>
      <c r="L15" s="148">
        <v>16607</v>
      </c>
      <c r="M15" s="150">
        <v>82491</v>
      </c>
      <c r="N15" s="150">
        <v>87243</v>
      </c>
      <c r="O15" s="150">
        <v>77367</v>
      </c>
      <c r="P15" s="150">
        <v>186542</v>
      </c>
      <c r="Q15" s="120"/>
      <c r="R15" s="73"/>
      <c r="S15" s="28" t="s">
        <v>100</v>
      </c>
    </row>
    <row r="16" spans="1:20" ht="15.6" x14ac:dyDescent="0.3">
      <c r="A16" s="8"/>
      <c r="B16" s="356"/>
      <c r="C16" s="109" t="s">
        <v>83</v>
      </c>
      <c r="D16" s="360"/>
      <c r="E16" s="115"/>
      <c r="F16" s="115"/>
      <c r="G16" s="118"/>
      <c r="H16" s="118"/>
      <c r="I16" s="118"/>
      <c r="J16" s="118"/>
      <c r="K16" s="140">
        <v>6582</v>
      </c>
      <c r="L16" s="157"/>
      <c r="M16" s="141">
        <v>6244</v>
      </c>
      <c r="N16" s="141">
        <v>6244</v>
      </c>
      <c r="O16" s="141">
        <v>6244</v>
      </c>
      <c r="P16" s="141">
        <v>6244</v>
      </c>
      <c r="Q16" s="120"/>
      <c r="R16" s="73"/>
      <c r="S16" s="28" t="s">
        <v>98</v>
      </c>
    </row>
    <row r="17" spans="1:19" ht="16.2" thickBot="1" x14ac:dyDescent="0.35">
      <c r="A17" s="8"/>
      <c r="B17" s="356"/>
      <c r="C17" s="109" t="s">
        <v>32</v>
      </c>
      <c r="D17" s="360"/>
      <c r="E17" s="147">
        <v>0</v>
      </c>
      <c r="F17" s="140">
        <v>39347</v>
      </c>
      <c r="G17" s="140">
        <v>35023</v>
      </c>
      <c r="H17" s="140">
        <v>28338</v>
      </c>
      <c r="I17" s="140">
        <v>43299</v>
      </c>
      <c r="J17" s="140">
        <v>40990</v>
      </c>
      <c r="K17" s="140">
        <v>63504</v>
      </c>
      <c r="L17" s="148">
        <v>77651</v>
      </c>
      <c r="M17" s="141">
        <v>81685</v>
      </c>
      <c r="N17" s="141">
        <v>83407</v>
      </c>
      <c r="O17" s="141">
        <v>71407</v>
      </c>
      <c r="P17" s="151">
        <v>59407</v>
      </c>
      <c r="Q17" s="121"/>
      <c r="R17" s="5"/>
      <c r="S17" s="28" t="s">
        <v>102</v>
      </c>
    </row>
    <row r="18" spans="1:19" ht="16.2" thickBot="1" x14ac:dyDescent="0.35">
      <c r="A18" s="8"/>
      <c r="B18" s="356"/>
      <c r="C18" s="109" t="s">
        <v>77</v>
      </c>
      <c r="D18" s="360"/>
      <c r="E18" s="115"/>
      <c r="F18" s="116"/>
      <c r="G18" s="116"/>
      <c r="H18" s="116"/>
      <c r="I18" s="116"/>
      <c r="J18" s="116"/>
      <c r="K18" s="117"/>
      <c r="L18" s="117"/>
      <c r="M18" s="141">
        <v>14237</v>
      </c>
      <c r="N18" s="154">
        <v>5349</v>
      </c>
      <c r="O18" s="161"/>
      <c r="P18" s="153"/>
      <c r="Q18" s="121"/>
      <c r="R18" s="5"/>
      <c r="S18" s="28" t="s">
        <v>97</v>
      </c>
    </row>
    <row r="19" spans="1:19" ht="16.2" thickBot="1" x14ac:dyDescent="0.35">
      <c r="A19" s="8"/>
      <c r="B19" s="356"/>
      <c r="C19" s="109" t="s">
        <v>93</v>
      </c>
      <c r="D19" s="360"/>
      <c r="E19" s="147"/>
      <c r="F19" s="147"/>
      <c r="G19" s="181">
        <v>56381</v>
      </c>
      <c r="H19" s="181">
        <v>56381</v>
      </c>
      <c r="I19" s="181">
        <v>56381</v>
      </c>
      <c r="J19" s="181">
        <v>56381</v>
      </c>
      <c r="K19" s="142">
        <v>70492</v>
      </c>
      <c r="L19" s="152">
        <v>70492</v>
      </c>
      <c r="M19" s="151">
        <v>70492</v>
      </c>
      <c r="N19" s="155">
        <v>70492</v>
      </c>
      <c r="O19" s="159">
        <v>70492</v>
      </c>
      <c r="P19" s="150">
        <v>70492</v>
      </c>
      <c r="Q19" s="196">
        <f>SUM(P15:P19)</f>
        <v>322685</v>
      </c>
      <c r="R19" s="5"/>
      <c r="S19" s="28" t="s">
        <v>106</v>
      </c>
    </row>
    <row r="20" spans="1:19" ht="29.4" thickBot="1" x14ac:dyDescent="0.35">
      <c r="A20" s="8"/>
      <c r="B20" s="357"/>
      <c r="C20" s="36" t="s">
        <v>40</v>
      </c>
      <c r="D20" s="361"/>
      <c r="E20" s="76">
        <v>1687</v>
      </c>
      <c r="F20" s="76">
        <v>1173</v>
      </c>
      <c r="G20" s="76">
        <v>2668</v>
      </c>
      <c r="H20" s="76">
        <v>1311</v>
      </c>
      <c r="I20" s="76">
        <v>1126</v>
      </c>
      <c r="J20" s="76">
        <v>5530</v>
      </c>
      <c r="K20" s="76">
        <v>18768</v>
      </c>
      <c r="L20" s="76">
        <v>7057</v>
      </c>
      <c r="M20" s="163">
        <v>11001</v>
      </c>
      <c r="N20" s="164">
        <v>9292</v>
      </c>
      <c r="O20" s="51">
        <v>6974</v>
      </c>
      <c r="P20" s="165">
        <v>2255</v>
      </c>
      <c r="Q20" s="324">
        <f>SUM(E20:P20)</f>
        <v>68842</v>
      </c>
      <c r="R20" s="325"/>
      <c r="S20" s="28"/>
    </row>
    <row r="21" spans="1:19" ht="15.6" x14ac:dyDescent="0.3">
      <c r="A21" s="8"/>
      <c r="B21" s="17">
        <v>2</v>
      </c>
      <c r="C21" s="12" t="s">
        <v>19</v>
      </c>
      <c r="D21" s="18">
        <v>9800975725</v>
      </c>
      <c r="E21" s="99"/>
      <c r="F21" s="99"/>
      <c r="G21" s="102">
        <v>0</v>
      </c>
      <c r="H21" s="60">
        <v>27972</v>
      </c>
      <c r="I21" s="60">
        <v>50000</v>
      </c>
      <c r="J21" s="60">
        <v>50045</v>
      </c>
      <c r="K21" s="60">
        <v>11895</v>
      </c>
      <c r="L21" s="60">
        <v>9929</v>
      </c>
      <c r="M21" s="52">
        <v>2973</v>
      </c>
      <c r="N21" s="49">
        <v>1546</v>
      </c>
      <c r="O21" s="68">
        <v>19038</v>
      </c>
      <c r="P21" s="72">
        <v>9105</v>
      </c>
      <c r="Q21" s="19"/>
      <c r="R21" s="5"/>
      <c r="S21" s="28"/>
    </row>
    <row r="22" spans="1:19" ht="15.6" x14ac:dyDescent="0.3">
      <c r="A22" s="8"/>
      <c r="B22" s="17">
        <v>3</v>
      </c>
      <c r="C22" s="12" t="s">
        <v>2</v>
      </c>
      <c r="D22" s="18">
        <v>9800108061</v>
      </c>
      <c r="E22" s="60">
        <v>10340</v>
      </c>
      <c r="F22" s="60">
        <v>21931</v>
      </c>
      <c r="G22" s="60">
        <v>12037</v>
      </c>
      <c r="H22" s="60">
        <v>30730</v>
      </c>
      <c r="I22" s="60">
        <v>11042</v>
      </c>
      <c r="J22" s="60">
        <v>19507</v>
      </c>
      <c r="K22" s="60">
        <v>58319</v>
      </c>
      <c r="L22" s="60">
        <v>123713</v>
      </c>
      <c r="M22" s="52">
        <v>115376</v>
      </c>
      <c r="N22" s="49">
        <v>168627</v>
      </c>
      <c r="O22" s="68">
        <v>171927</v>
      </c>
      <c r="P22" s="68">
        <v>38976</v>
      </c>
      <c r="Q22" s="19"/>
      <c r="R22" s="5"/>
      <c r="S22" s="28"/>
    </row>
    <row r="23" spans="1:19" ht="15.6" x14ac:dyDescent="0.3">
      <c r="A23" s="8"/>
      <c r="B23" s="17">
        <v>4</v>
      </c>
      <c r="C23" s="12" t="s">
        <v>9</v>
      </c>
      <c r="D23" s="18">
        <v>9800348923</v>
      </c>
      <c r="E23" s="102"/>
      <c r="F23" s="60">
        <v>1888</v>
      </c>
      <c r="G23" s="60">
        <v>16815</v>
      </c>
      <c r="H23" s="60">
        <v>23929</v>
      </c>
      <c r="I23" s="60">
        <v>18725</v>
      </c>
      <c r="J23" s="60">
        <v>17545</v>
      </c>
      <c r="K23" s="60">
        <v>25682</v>
      </c>
      <c r="L23" s="60">
        <v>25763</v>
      </c>
      <c r="M23" s="52">
        <v>19584</v>
      </c>
      <c r="N23" s="49">
        <v>6066</v>
      </c>
      <c r="O23" s="68">
        <v>4080</v>
      </c>
      <c r="P23" s="68">
        <v>3073</v>
      </c>
      <c r="Q23" s="19"/>
      <c r="R23" s="5"/>
      <c r="S23" s="28"/>
    </row>
    <row r="24" spans="1:19" ht="15.6" x14ac:dyDescent="0.3">
      <c r="A24" s="8"/>
      <c r="B24" s="17">
        <v>5</v>
      </c>
      <c r="C24" s="12" t="s">
        <v>10</v>
      </c>
      <c r="D24" s="18"/>
      <c r="E24" s="102"/>
      <c r="F24" s="60">
        <v>1984</v>
      </c>
      <c r="G24" s="60">
        <v>1984</v>
      </c>
      <c r="H24" s="60">
        <v>6588</v>
      </c>
      <c r="I24" s="60">
        <v>6577</v>
      </c>
      <c r="J24" s="60">
        <v>6166</v>
      </c>
      <c r="K24" s="60">
        <v>5586</v>
      </c>
      <c r="L24" s="60">
        <v>5631</v>
      </c>
      <c r="M24" s="52">
        <v>5675</v>
      </c>
      <c r="N24" s="49">
        <v>5704</v>
      </c>
      <c r="O24" s="68">
        <v>5749</v>
      </c>
      <c r="P24" s="68">
        <v>5804</v>
      </c>
      <c r="Q24" s="19"/>
      <c r="R24" s="5"/>
      <c r="S24" s="28"/>
    </row>
    <row r="25" spans="1:19" ht="15.6" x14ac:dyDescent="0.3">
      <c r="A25" s="8"/>
      <c r="B25" s="17">
        <v>6</v>
      </c>
      <c r="C25" s="12" t="s">
        <v>3</v>
      </c>
      <c r="D25" s="18"/>
      <c r="E25" s="60">
        <v>1864</v>
      </c>
      <c r="F25" s="52">
        <v>1864</v>
      </c>
      <c r="G25" s="60">
        <v>1864</v>
      </c>
      <c r="H25" s="60">
        <v>1864</v>
      </c>
      <c r="I25" s="60">
        <v>1864</v>
      </c>
      <c r="J25" s="60">
        <v>1864</v>
      </c>
      <c r="K25" s="60">
        <v>1864</v>
      </c>
      <c r="L25" s="60">
        <v>1864</v>
      </c>
      <c r="M25" s="60">
        <v>1864</v>
      </c>
      <c r="N25" s="60">
        <v>1864</v>
      </c>
      <c r="O25" s="60">
        <v>1864</v>
      </c>
      <c r="P25" s="60">
        <v>1864</v>
      </c>
      <c r="Q25" s="19"/>
      <c r="R25" s="5"/>
      <c r="S25" s="28"/>
    </row>
    <row r="26" spans="1:19" ht="15.6" x14ac:dyDescent="0.3">
      <c r="A26" s="8"/>
      <c r="B26" s="17">
        <v>7</v>
      </c>
      <c r="C26" s="12" t="s">
        <v>4</v>
      </c>
      <c r="D26" s="18">
        <v>9800108061</v>
      </c>
      <c r="E26" s="60">
        <v>36341</v>
      </c>
      <c r="F26" s="60">
        <v>22815</v>
      </c>
      <c r="G26" s="60">
        <v>133563</v>
      </c>
      <c r="H26" s="60">
        <v>61002</v>
      </c>
      <c r="I26" s="60">
        <v>61028</v>
      </c>
      <c r="J26" s="60">
        <v>22939</v>
      </c>
      <c r="K26" s="60">
        <v>5390</v>
      </c>
      <c r="L26" s="60">
        <v>1377</v>
      </c>
      <c r="M26" s="52">
        <v>1071</v>
      </c>
      <c r="N26" s="49">
        <v>1642</v>
      </c>
      <c r="O26" s="68">
        <v>2424</v>
      </c>
      <c r="P26" s="68">
        <v>9396</v>
      </c>
      <c r="Q26" s="19"/>
      <c r="R26" s="5"/>
      <c r="S26" s="28"/>
    </row>
    <row r="27" spans="1:19" ht="15.6" x14ac:dyDescent="0.3">
      <c r="A27" s="8"/>
      <c r="B27" s="17">
        <v>8</v>
      </c>
      <c r="C27" s="12" t="s">
        <v>5</v>
      </c>
      <c r="D27" s="18"/>
      <c r="E27" s="102"/>
      <c r="F27" s="102"/>
      <c r="G27" s="60">
        <v>3514</v>
      </c>
      <c r="H27" s="60">
        <v>8573</v>
      </c>
      <c r="I27" s="60">
        <v>1253</v>
      </c>
      <c r="J27" s="60">
        <v>2741</v>
      </c>
      <c r="K27" s="60">
        <v>2595</v>
      </c>
      <c r="L27" s="60">
        <v>3164</v>
      </c>
      <c r="M27" s="52">
        <v>646</v>
      </c>
      <c r="N27" s="49">
        <v>586</v>
      </c>
      <c r="O27" s="68">
        <v>526</v>
      </c>
      <c r="P27" s="68">
        <v>466</v>
      </c>
      <c r="Q27" s="19"/>
      <c r="R27" s="5"/>
      <c r="S27" s="28"/>
    </row>
    <row r="28" spans="1:19" ht="15.6" x14ac:dyDescent="0.3">
      <c r="A28" s="8"/>
      <c r="B28" s="17">
        <v>9</v>
      </c>
      <c r="C28" s="12" t="s">
        <v>6</v>
      </c>
      <c r="D28" s="18">
        <v>9800567084</v>
      </c>
      <c r="E28" s="102"/>
      <c r="F28" s="102"/>
      <c r="G28" s="60">
        <v>2000</v>
      </c>
      <c r="H28" s="60">
        <v>1308</v>
      </c>
      <c r="I28" s="60">
        <v>76</v>
      </c>
      <c r="J28" s="60">
        <v>102</v>
      </c>
      <c r="K28" s="60">
        <v>454</v>
      </c>
      <c r="L28" s="60">
        <v>1072</v>
      </c>
      <c r="M28" s="52">
        <v>280</v>
      </c>
      <c r="N28" s="49">
        <v>69465</v>
      </c>
      <c r="O28" s="68">
        <v>136477</v>
      </c>
      <c r="P28" s="68">
        <v>126824</v>
      </c>
      <c r="Q28" s="19"/>
      <c r="R28" s="5"/>
      <c r="S28" s="28"/>
    </row>
    <row r="29" spans="1:19" ht="15.6" x14ac:dyDescent="0.3">
      <c r="A29" s="8"/>
      <c r="B29" s="17">
        <v>10</v>
      </c>
      <c r="C29" s="12" t="s">
        <v>7</v>
      </c>
      <c r="D29" s="18"/>
      <c r="E29" s="99"/>
      <c r="F29" s="99"/>
      <c r="G29" s="102"/>
      <c r="H29" s="60">
        <v>476</v>
      </c>
      <c r="I29" s="60">
        <v>454</v>
      </c>
      <c r="J29" s="60">
        <v>430</v>
      </c>
      <c r="K29" s="60">
        <v>409</v>
      </c>
      <c r="L29" s="60">
        <v>392</v>
      </c>
      <c r="M29" s="52">
        <v>373</v>
      </c>
      <c r="N29" s="49">
        <v>338</v>
      </c>
      <c r="O29" s="68">
        <v>318</v>
      </c>
      <c r="P29" s="68">
        <v>308</v>
      </c>
      <c r="Q29" s="19"/>
      <c r="R29" s="5"/>
      <c r="S29" s="28"/>
    </row>
    <row r="30" spans="1:19" ht="15.6" x14ac:dyDescent="0.3">
      <c r="A30" s="8"/>
      <c r="B30" s="17">
        <v>11</v>
      </c>
      <c r="C30" s="12" t="s">
        <v>8</v>
      </c>
      <c r="D30" s="18">
        <v>37241900</v>
      </c>
      <c r="E30" s="170">
        <v>38507</v>
      </c>
      <c r="F30" s="170">
        <v>30791</v>
      </c>
      <c r="G30" s="60">
        <v>25179</v>
      </c>
      <c r="H30" s="60">
        <v>33961</v>
      </c>
      <c r="I30" s="60">
        <v>38670</v>
      </c>
      <c r="J30" s="60">
        <v>33958</v>
      </c>
      <c r="K30" s="60">
        <v>39003</v>
      </c>
      <c r="L30" s="60">
        <v>29670</v>
      </c>
      <c r="M30" s="52">
        <v>38939</v>
      </c>
      <c r="N30" s="49">
        <v>49195</v>
      </c>
      <c r="O30" s="68">
        <v>41943</v>
      </c>
      <c r="P30" s="68">
        <v>36000</v>
      </c>
      <c r="Q30" s="19"/>
      <c r="R30" s="5"/>
      <c r="S30" s="28"/>
    </row>
    <row r="31" spans="1:19" ht="15.6" x14ac:dyDescent="0.3">
      <c r="A31" s="8"/>
      <c r="B31" s="17">
        <v>12</v>
      </c>
      <c r="C31" s="12" t="s">
        <v>11</v>
      </c>
      <c r="D31" s="18">
        <v>9804100353</v>
      </c>
      <c r="E31" s="46"/>
      <c r="F31" s="46"/>
      <c r="G31" s="46"/>
      <c r="H31" s="46"/>
      <c r="I31" s="46"/>
      <c r="J31" s="46"/>
      <c r="K31" s="60"/>
      <c r="L31" s="60"/>
      <c r="M31" s="52"/>
      <c r="N31" s="49"/>
      <c r="O31" s="68"/>
      <c r="P31" s="68"/>
      <c r="Q31" s="19"/>
      <c r="R31" s="5"/>
      <c r="S31" s="28"/>
    </row>
    <row r="32" spans="1:19" ht="15.6" x14ac:dyDescent="0.3">
      <c r="A32" s="8"/>
      <c r="B32" s="17">
        <v>13</v>
      </c>
      <c r="C32" s="31" t="s">
        <v>49</v>
      </c>
      <c r="D32" s="32"/>
      <c r="E32" s="99"/>
      <c r="F32" s="99"/>
      <c r="G32" s="99"/>
      <c r="H32" s="99"/>
      <c r="I32" s="99"/>
      <c r="J32" s="99"/>
      <c r="K32" s="99"/>
      <c r="L32" s="99"/>
      <c r="M32" s="100"/>
      <c r="N32" s="101"/>
      <c r="O32" s="69">
        <v>183967</v>
      </c>
      <c r="P32" s="69">
        <v>208027</v>
      </c>
      <c r="Q32" s="19"/>
      <c r="R32" s="5"/>
      <c r="S32" s="28"/>
    </row>
    <row r="33" spans="1:21" ht="16.2" thickBot="1" x14ac:dyDescent="0.35">
      <c r="A33" s="8"/>
      <c r="B33" s="17">
        <v>14</v>
      </c>
      <c r="C33" s="13" t="s">
        <v>12</v>
      </c>
      <c r="D33" s="20" t="s">
        <v>13</v>
      </c>
      <c r="E33" s="46"/>
      <c r="F33" s="46"/>
      <c r="G33" s="46"/>
      <c r="H33" s="46"/>
      <c r="I33" s="46"/>
      <c r="J33" s="46"/>
      <c r="K33" s="46"/>
      <c r="L33" s="46"/>
      <c r="M33" s="53"/>
      <c r="N33" s="50"/>
      <c r="O33" s="21"/>
      <c r="P33" s="21"/>
      <c r="Q33" s="22"/>
      <c r="R33" s="6"/>
      <c r="S33" s="28"/>
    </row>
    <row r="34" spans="1:21" s="7" customFormat="1" ht="18.600000000000001" thickBot="1" x14ac:dyDescent="0.35">
      <c r="A34" s="295"/>
      <c r="B34" s="298"/>
      <c r="C34" s="335" t="s">
        <v>125</v>
      </c>
      <c r="D34" s="336"/>
      <c r="E34" s="299">
        <f t="shared" ref="E34:O34" si="0">SUM(E21:E33)+E5+E6</f>
        <v>27290</v>
      </c>
      <c r="F34" s="299">
        <f t="shared" si="0"/>
        <v>81505</v>
      </c>
      <c r="G34" s="299">
        <f t="shared" si="0"/>
        <v>190366</v>
      </c>
      <c r="H34" s="299">
        <f t="shared" si="0"/>
        <v>199823</v>
      </c>
      <c r="I34" s="299">
        <f t="shared" si="0"/>
        <v>157170</v>
      </c>
      <c r="J34" s="299">
        <f t="shared" si="0"/>
        <v>81025</v>
      </c>
      <c r="K34" s="299">
        <f t="shared" si="0"/>
        <v>58193</v>
      </c>
      <c r="L34" s="299">
        <f t="shared" si="0"/>
        <v>120384</v>
      </c>
      <c r="M34" s="299">
        <f t="shared" si="0"/>
        <v>99643</v>
      </c>
      <c r="N34" s="299">
        <f t="shared" si="0"/>
        <v>214372</v>
      </c>
      <c r="O34" s="299">
        <f t="shared" si="0"/>
        <v>494597</v>
      </c>
      <c r="P34" s="299">
        <f>SUM(P21:P33)+P5+P6</f>
        <v>438152</v>
      </c>
      <c r="Q34" s="299">
        <f>SUM(Q21:Q33)+Q5+Q6</f>
        <v>0</v>
      </c>
      <c r="R34" s="300"/>
      <c r="S34" s="296"/>
      <c r="T34" s="297"/>
      <c r="U34" s="212"/>
    </row>
    <row r="35" spans="1:21" ht="15.75" customHeight="1" thickBot="1" x14ac:dyDescent="0.45">
      <c r="A35" s="8"/>
      <c r="B35" s="23"/>
      <c r="C35" s="337" t="s">
        <v>21</v>
      </c>
      <c r="D35" s="338"/>
      <c r="E35" s="55"/>
      <c r="F35" s="55"/>
      <c r="G35" s="55"/>
      <c r="H35" s="55"/>
      <c r="I35" s="55"/>
      <c r="J35" s="55"/>
      <c r="K35" s="55"/>
      <c r="L35" s="55"/>
      <c r="M35" s="54" t="s">
        <v>24</v>
      </c>
      <c r="N35" s="24" t="s">
        <v>24</v>
      </c>
      <c r="O35" s="24" t="s">
        <v>50</v>
      </c>
      <c r="P35" s="24" t="s">
        <v>74</v>
      </c>
      <c r="Q35" s="25"/>
      <c r="R35" s="26"/>
      <c r="S35" s="27"/>
      <c r="T35" s="27"/>
      <c r="U35" s="33"/>
    </row>
    <row r="36" spans="1:21" ht="15.6" x14ac:dyDescent="0.3">
      <c r="A36" s="8"/>
      <c r="B36" s="17">
        <v>15</v>
      </c>
      <c r="C36" s="29" t="s">
        <v>36</v>
      </c>
      <c r="D36" s="30">
        <v>9801286254</v>
      </c>
      <c r="E36" s="99"/>
      <c r="F36" s="99"/>
      <c r="G36" s="99"/>
      <c r="H36" s="99"/>
      <c r="I36" s="99"/>
      <c r="J36" s="99"/>
      <c r="K36" s="60">
        <v>86762</v>
      </c>
      <c r="L36" s="60">
        <v>104902</v>
      </c>
      <c r="M36" s="70">
        <v>164708</v>
      </c>
      <c r="N36" s="71">
        <v>176848</v>
      </c>
      <c r="O36" s="72">
        <v>206443</v>
      </c>
      <c r="P36" s="72">
        <v>281653</v>
      </c>
      <c r="Q36" s="41">
        <v>0</v>
      </c>
      <c r="R36" s="42"/>
      <c r="S36" s="28"/>
    </row>
    <row r="37" spans="1:21" ht="16.2" thickBot="1" x14ac:dyDescent="0.35">
      <c r="A37" s="8"/>
      <c r="B37" s="17">
        <v>16</v>
      </c>
      <c r="C37" s="31" t="s">
        <v>20</v>
      </c>
      <c r="D37" s="32"/>
      <c r="E37" s="99"/>
      <c r="F37" s="99"/>
      <c r="G37" s="99"/>
      <c r="H37" s="99"/>
      <c r="I37" s="99"/>
      <c r="J37" s="99"/>
      <c r="K37" s="99"/>
      <c r="L37" s="99"/>
      <c r="M37" s="100"/>
      <c r="N37" s="101"/>
      <c r="O37" s="69">
        <v>19006</v>
      </c>
      <c r="P37" s="69">
        <v>82745</v>
      </c>
      <c r="Q37" s="43">
        <v>0</v>
      </c>
      <c r="R37" s="6"/>
      <c r="S37" s="28"/>
    </row>
    <row r="38" spans="1:21" ht="21.6" thickBot="1" x14ac:dyDescent="0.45">
      <c r="A38" s="8"/>
      <c r="B38" s="23"/>
      <c r="C38" s="334" t="s">
        <v>21</v>
      </c>
      <c r="D38" s="334"/>
      <c r="E38" s="286"/>
      <c r="F38" s="286"/>
      <c r="G38" s="286"/>
      <c r="H38" s="286"/>
      <c r="I38" s="286"/>
      <c r="J38" s="286"/>
      <c r="K38" s="286"/>
      <c r="L38" s="286"/>
      <c r="M38" s="56" t="s">
        <v>35</v>
      </c>
      <c r="N38" s="38" t="s">
        <v>35</v>
      </c>
      <c r="O38" s="38" t="s">
        <v>51</v>
      </c>
      <c r="P38" s="38" t="s">
        <v>76</v>
      </c>
      <c r="Q38" s="27"/>
      <c r="R38" s="28"/>
      <c r="S38" s="28"/>
    </row>
    <row r="39" spans="1:21" ht="29.4" thickBot="1" x14ac:dyDescent="0.35">
      <c r="A39" s="8"/>
      <c r="B39" s="33"/>
      <c r="C39" s="339" t="s">
        <v>39</v>
      </c>
      <c r="D39" s="340"/>
      <c r="E39" s="340"/>
      <c r="F39" s="340"/>
      <c r="G39" s="340"/>
      <c r="H39" s="340"/>
      <c r="I39" s="340"/>
      <c r="J39" s="340"/>
      <c r="K39" s="340"/>
      <c r="L39" s="340"/>
      <c r="M39" s="340"/>
      <c r="N39" s="340"/>
      <c r="O39" s="340"/>
      <c r="P39" s="340"/>
      <c r="Q39" s="27"/>
      <c r="R39" s="28"/>
      <c r="S39" s="28"/>
    </row>
    <row r="40" spans="1:21" ht="21.6" thickBot="1" x14ac:dyDescent="0.45">
      <c r="A40" s="8"/>
      <c r="B40" s="33"/>
      <c r="C40" s="292"/>
      <c r="D40" s="30"/>
      <c r="E40" s="287">
        <v>2000</v>
      </c>
      <c r="F40" s="287">
        <v>2001</v>
      </c>
      <c r="G40" s="287">
        <v>2002</v>
      </c>
      <c r="H40" s="287">
        <v>2003</v>
      </c>
      <c r="I40" s="287">
        <v>2004</v>
      </c>
      <c r="J40" s="287">
        <v>2005</v>
      </c>
      <c r="K40" s="287">
        <v>2006</v>
      </c>
      <c r="L40" s="287">
        <v>2007</v>
      </c>
      <c r="M40" s="291">
        <v>2008</v>
      </c>
      <c r="N40" s="288">
        <v>2009</v>
      </c>
      <c r="O40" s="288">
        <v>2010</v>
      </c>
      <c r="P40" s="288">
        <v>2011</v>
      </c>
      <c r="Q40" s="27"/>
      <c r="R40" s="28"/>
      <c r="S40" s="28"/>
    </row>
    <row r="41" spans="1:21" ht="29.4" thickBot="1" x14ac:dyDescent="0.4">
      <c r="A41" s="8"/>
      <c r="B41" s="33"/>
      <c r="C41" s="36" t="s">
        <v>40</v>
      </c>
      <c r="D41" s="58"/>
      <c r="E41" s="171">
        <f>301+350</f>
        <v>651</v>
      </c>
      <c r="F41" s="171">
        <f>301+350</f>
        <v>651</v>
      </c>
      <c r="G41" s="99"/>
      <c r="H41" s="99"/>
      <c r="I41" s="99"/>
      <c r="J41" s="76">
        <v>0</v>
      </c>
      <c r="K41" s="10">
        <v>676</v>
      </c>
      <c r="L41" s="10">
        <v>1334</v>
      </c>
      <c r="M41" s="166">
        <v>92684</v>
      </c>
      <c r="N41" s="167">
        <v>97206</v>
      </c>
      <c r="O41" s="167">
        <v>95265</v>
      </c>
      <c r="P41" s="168">
        <v>92687</v>
      </c>
      <c r="Q41" s="324">
        <f>SUM(E41:P41)</f>
        <v>381154</v>
      </c>
      <c r="R41" s="325"/>
      <c r="S41" s="28"/>
    </row>
    <row r="42" spans="1:21" ht="21" x14ac:dyDescent="0.4">
      <c r="A42" s="8"/>
      <c r="B42" s="33"/>
      <c r="C42" s="108" t="s">
        <v>25</v>
      </c>
      <c r="D42" s="59"/>
      <c r="E42" s="99"/>
      <c r="F42" s="99"/>
      <c r="G42" s="99"/>
      <c r="H42" s="99"/>
      <c r="I42" s="99"/>
      <c r="J42" s="99"/>
      <c r="K42" s="99"/>
      <c r="L42" s="99"/>
      <c r="M42" s="103"/>
      <c r="N42" s="187">
        <v>29000</v>
      </c>
      <c r="O42" s="187">
        <v>29000</v>
      </c>
      <c r="P42" s="187">
        <v>29000</v>
      </c>
      <c r="Q42" s="27"/>
      <c r="R42" s="28"/>
      <c r="S42" s="28" t="s">
        <v>114</v>
      </c>
    </row>
    <row r="43" spans="1:21" ht="21" x14ac:dyDescent="0.4">
      <c r="A43" s="8"/>
      <c r="B43" s="33"/>
      <c r="C43" s="108" t="s">
        <v>27</v>
      </c>
      <c r="D43" s="59"/>
      <c r="E43" s="181">
        <v>21132</v>
      </c>
      <c r="F43" s="181">
        <v>54041</v>
      </c>
      <c r="G43" s="147"/>
      <c r="H43" s="147"/>
      <c r="I43" s="147"/>
      <c r="J43" s="147"/>
      <c r="K43" s="187">
        <v>57357</v>
      </c>
      <c r="L43" s="187">
        <v>57159</v>
      </c>
      <c r="M43" s="188">
        <v>170285</v>
      </c>
      <c r="N43" s="187">
        <v>181035</v>
      </c>
      <c r="O43" s="187">
        <f>201833</f>
        <v>201833</v>
      </c>
      <c r="P43" s="187">
        <v>243430</v>
      </c>
      <c r="Q43" s="189">
        <f>P43</f>
        <v>243430</v>
      </c>
      <c r="R43" s="28"/>
      <c r="S43" s="28" t="s">
        <v>103</v>
      </c>
    </row>
    <row r="44" spans="1:21" ht="21.6" thickBot="1" x14ac:dyDescent="0.45">
      <c r="A44" s="8"/>
      <c r="B44" s="33"/>
      <c r="C44" s="111" t="s">
        <v>28</v>
      </c>
      <c r="D44" s="207"/>
      <c r="E44" s="206"/>
      <c r="F44" s="206"/>
      <c r="G44" s="206"/>
      <c r="H44" s="206"/>
      <c r="I44" s="206"/>
      <c r="J44" s="206"/>
      <c r="K44" s="210">
        <v>555766</v>
      </c>
      <c r="L44" s="210">
        <v>949482</v>
      </c>
      <c r="M44" s="210">
        <v>1005137</v>
      </c>
      <c r="N44" s="210">
        <v>997938</v>
      </c>
      <c r="O44" s="210">
        <v>1001751</v>
      </c>
      <c r="P44" s="210">
        <v>966638</v>
      </c>
      <c r="Q44" s="27"/>
      <c r="R44" s="28"/>
      <c r="S44" s="28" t="s">
        <v>115</v>
      </c>
    </row>
    <row r="45" spans="1:21" ht="29.4" thickBot="1" x14ac:dyDescent="0.35">
      <c r="A45" s="8"/>
      <c r="B45" s="33"/>
      <c r="C45" s="119" t="s">
        <v>30</v>
      </c>
      <c r="D45" s="61"/>
      <c r="E45" s="10">
        <v>-2576</v>
      </c>
      <c r="F45" s="10">
        <v>-65930</v>
      </c>
      <c r="G45" s="10">
        <v>-102059</v>
      </c>
      <c r="H45" s="10">
        <v>-102059</v>
      </c>
      <c r="I45" s="10">
        <v>-102059</v>
      </c>
      <c r="J45" s="10">
        <v>-102059</v>
      </c>
      <c r="K45" s="10">
        <v>-103235</v>
      </c>
      <c r="L45" s="10">
        <v>-105408</v>
      </c>
      <c r="M45" s="57">
        <v>-138809</v>
      </c>
      <c r="N45" s="10">
        <v>-205347</v>
      </c>
      <c r="O45" s="10">
        <v>-242312</v>
      </c>
      <c r="P45" s="98">
        <v>-276010</v>
      </c>
      <c r="Q45" s="324">
        <f>P45</f>
        <v>-276010</v>
      </c>
      <c r="R45" s="325"/>
      <c r="S45" s="28" t="s">
        <v>116</v>
      </c>
    </row>
    <row r="46" spans="1:21" ht="21.6" thickBot="1" x14ac:dyDescent="0.45">
      <c r="A46" s="8"/>
      <c r="B46" s="33"/>
      <c r="C46" s="341" t="s">
        <v>21</v>
      </c>
      <c r="D46" s="341"/>
      <c r="E46" s="286"/>
      <c r="F46" s="286"/>
      <c r="G46" s="286"/>
      <c r="H46" s="286"/>
      <c r="I46" s="286"/>
      <c r="J46" s="286"/>
      <c r="K46" s="286"/>
      <c r="L46" s="286"/>
      <c r="M46" s="289" t="s">
        <v>29</v>
      </c>
      <c r="N46" s="290" t="s">
        <v>29</v>
      </c>
      <c r="O46" s="290" t="s">
        <v>52</v>
      </c>
      <c r="P46" s="211" t="s">
        <v>75</v>
      </c>
      <c r="Q46" s="27"/>
      <c r="R46" s="28"/>
      <c r="S46" s="28"/>
    </row>
    <row r="47" spans="1:21" ht="29.4" thickBot="1" x14ac:dyDescent="0.35">
      <c r="A47" s="8"/>
      <c r="B47" s="33"/>
      <c r="C47" s="339" t="s">
        <v>23</v>
      </c>
      <c r="D47" s="342"/>
      <c r="E47" s="342"/>
      <c r="F47" s="342"/>
      <c r="G47" s="342"/>
      <c r="H47" s="342"/>
      <c r="I47" s="342"/>
      <c r="J47" s="342"/>
      <c r="K47" s="342"/>
      <c r="L47" s="342"/>
      <c r="M47" s="342"/>
      <c r="N47" s="342"/>
      <c r="O47" s="342"/>
      <c r="P47" s="342"/>
      <c r="Q47" s="27"/>
      <c r="R47" s="28"/>
      <c r="S47" s="28"/>
    </row>
    <row r="48" spans="1:21" ht="21.6" thickBot="1" x14ac:dyDescent="0.45">
      <c r="A48" s="8"/>
      <c r="B48" s="33"/>
      <c r="C48" s="29"/>
      <c r="D48" s="30"/>
      <c r="E48" s="287">
        <v>2000</v>
      </c>
      <c r="F48" s="287">
        <v>2001</v>
      </c>
      <c r="G48" s="287">
        <v>2002</v>
      </c>
      <c r="H48" s="287">
        <v>2003</v>
      </c>
      <c r="I48" s="287">
        <v>2004</v>
      </c>
      <c r="J48" s="287">
        <v>2005</v>
      </c>
      <c r="K48" s="287">
        <v>2006</v>
      </c>
      <c r="L48" s="287">
        <v>2007</v>
      </c>
      <c r="M48" s="291">
        <v>2008</v>
      </c>
      <c r="N48" s="288">
        <v>2009</v>
      </c>
      <c r="O48" s="288">
        <v>2010</v>
      </c>
      <c r="P48" s="288">
        <v>2011</v>
      </c>
      <c r="Q48" s="27"/>
      <c r="R48" s="28"/>
      <c r="S48" s="28"/>
    </row>
    <row r="49" spans="1:20" ht="26.4" thickBot="1" x14ac:dyDescent="0.55000000000000004">
      <c r="A49" s="8"/>
      <c r="B49" s="33"/>
      <c r="C49" s="11" t="s">
        <v>38</v>
      </c>
      <c r="D49" s="20">
        <v>9800108061</v>
      </c>
      <c r="E49" s="60">
        <v>20596</v>
      </c>
      <c r="F49" s="60">
        <v>20596</v>
      </c>
      <c r="G49" s="60"/>
      <c r="H49" s="60">
        <v>302475</v>
      </c>
      <c r="I49" s="60">
        <v>429453</v>
      </c>
      <c r="J49" s="60">
        <v>666048</v>
      </c>
      <c r="K49" s="60">
        <v>742981</v>
      </c>
      <c r="L49" s="60">
        <v>801346</v>
      </c>
      <c r="M49" s="62">
        <v>829344</v>
      </c>
      <c r="N49" s="63">
        <v>839276</v>
      </c>
      <c r="O49" s="63">
        <v>839276</v>
      </c>
      <c r="P49" s="63">
        <v>849276</v>
      </c>
      <c r="Q49" s="27"/>
      <c r="R49" s="28"/>
      <c r="S49" s="28"/>
    </row>
    <row r="50" spans="1:20" ht="21.6" thickBot="1" x14ac:dyDescent="0.45">
      <c r="A50" s="8"/>
      <c r="B50" s="23"/>
      <c r="C50" s="343" t="s">
        <v>21</v>
      </c>
      <c r="D50" s="343"/>
      <c r="E50" s="286"/>
      <c r="F50" s="286"/>
      <c r="G50" s="286"/>
      <c r="H50" s="286"/>
      <c r="I50" s="286"/>
      <c r="J50" s="286"/>
      <c r="K50" s="286"/>
      <c r="L50" s="286"/>
      <c r="M50" s="56" t="s">
        <v>22</v>
      </c>
      <c r="N50" s="38" t="s">
        <v>22</v>
      </c>
      <c r="O50" s="38" t="s">
        <v>53</v>
      </c>
      <c r="P50" s="27"/>
      <c r="Q50" s="34"/>
      <c r="R50" s="35"/>
      <c r="S50" s="28"/>
    </row>
    <row r="51" spans="1:20" ht="29.4" thickBot="1" x14ac:dyDescent="0.6">
      <c r="A51" s="8"/>
      <c r="B51" s="33"/>
      <c r="C51" s="344" t="s">
        <v>31</v>
      </c>
      <c r="D51" s="342"/>
      <c r="E51" s="342"/>
      <c r="F51" s="342"/>
      <c r="G51" s="342"/>
      <c r="H51" s="342"/>
      <c r="I51" s="342"/>
      <c r="J51" s="342"/>
      <c r="K51" s="342"/>
      <c r="L51" s="342"/>
      <c r="M51" s="342"/>
      <c r="N51" s="342"/>
      <c r="O51" s="342"/>
      <c r="P51" s="342"/>
      <c r="Q51" s="27"/>
      <c r="R51" s="28"/>
      <c r="S51" s="28"/>
    </row>
    <row r="52" spans="1:20" ht="21.6" thickBot="1" x14ac:dyDescent="0.45">
      <c r="A52" s="8"/>
      <c r="B52" s="33"/>
      <c r="C52" s="29"/>
      <c r="D52" s="30"/>
      <c r="E52" s="287">
        <v>2000</v>
      </c>
      <c r="F52" s="287">
        <v>2001</v>
      </c>
      <c r="G52" s="287">
        <v>2002</v>
      </c>
      <c r="H52" s="287">
        <v>2003</v>
      </c>
      <c r="I52" s="287">
        <v>2004</v>
      </c>
      <c r="J52" s="287">
        <v>2005</v>
      </c>
      <c r="K52" s="287">
        <v>2006</v>
      </c>
      <c r="L52" s="287">
        <v>2007</v>
      </c>
      <c r="M52" s="291">
        <v>2008</v>
      </c>
      <c r="N52" s="288">
        <v>2009</v>
      </c>
      <c r="O52" s="288">
        <v>2010</v>
      </c>
      <c r="P52" s="288">
        <v>2011</v>
      </c>
      <c r="Q52" s="27"/>
      <c r="R52" s="28"/>
      <c r="S52" s="28"/>
    </row>
    <row r="53" spans="1:20" ht="15.6" x14ac:dyDescent="0.3">
      <c r="A53" s="8"/>
      <c r="B53" s="33"/>
      <c r="C53" s="107" t="s">
        <v>32</v>
      </c>
      <c r="D53" s="18"/>
      <c r="E53" s="225">
        <v>0</v>
      </c>
      <c r="F53" s="190">
        <v>5596</v>
      </c>
      <c r="G53" s="190">
        <v>5596</v>
      </c>
      <c r="H53" s="190">
        <v>5596</v>
      </c>
      <c r="I53" s="190">
        <v>5596</v>
      </c>
      <c r="J53" s="190">
        <v>5596</v>
      </c>
      <c r="K53" s="190">
        <v>5596</v>
      </c>
      <c r="L53" s="190">
        <v>5596</v>
      </c>
      <c r="M53" s="190">
        <v>5596</v>
      </c>
      <c r="N53" s="191">
        <v>5596</v>
      </c>
      <c r="O53" s="191">
        <v>5596</v>
      </c>
      <c r="P53" s="191">
        <v>5596</v>
      </c>
      <c r="Q53" s="27"/>
      <c r="R53" s="28"/>
      <c r="S53" s="28" t="s">
        <v>107</v>
      </c>
    </row>
    <row r="54" spans="1:20" ht="15.6" x14ac:dyDescent="0.3">
      <c r="A54" s="8"/>
      <c r="B54" s="33"/>
      <c r="C54" s="107" t="s">
        <v>33</v>
      </c>
      <c r="D54" s="18"/>
      <c r="E54" s="187">
        <f>98711+6952</f>
        <v>105663</v>
      </c>
      <c r="F54" s="142">
        <v>114772</v>
      </c>
      <c r="G54" s="188">
        <f>33352+94772</f>
        <v>128124</v>
      </c>
      <c r="H54" s="188">
        <f>54094+94772</f>
        <v>148866</v>
      </c>
      <c r="I54" s="188">
        <f>73342+94772</f>
        <v>168114</v>
      </c>
      <c r="J54" s="188">
        <f>100941+94772</f>
        <v>195713</v>
      </c>
      <c r="K54" s="188">
        <f>134265+94772</f>
        <v>229037</v>
      </c>
      <c r="L54" s="188">
        <f>157362+94772</f>
        <v>252134</v>
      </c>
      <c r="M54" s="188">
        <f>179758+94772</f>
        <v>274530</v>
      </c>
      <c r="N54" s="187">
        <f>201870+94772</f>
        <v>296642</v>
      </c>
      <c r="O54" s="187">
        <f>207143+94772</f>
        <v>301915</v>
      </c>
      <c r="P54" s="187">
        <f>210284+94772</f>
        <v>305056</v>
      </c>
      <c r="Q54" s="189">
        <f>P54</f>
        <v>305056</v>
      </c>
      <c r="R54" s="28"/>
      <c r="S54" s="28" t="s">
        <v>107</v>
      </c>
    </row>
    <row r="55" spans="1:20" ht="15.6" x14ac:dyDescent="0.3">
      <c r="A55" s="8"/>
      <c r="B55" s="33"/>
      <c r="C55" s="110" t="s">
        <v>81</v>
      </c>
      <c r="D55" s="207"/>
      <c r="E55" s="210">
        <v>38082</v>
      </c>
      <c r="F55" s="208">
        <v>14719</v>
      </c>
      <c r="G55" s="208">
        <f>24528</f>
        <v>24528</v>
      </c>
      <c r="H55" s="208">
        <f>27728+11488+79606</f>
        <v>118822</v>
      </c>
      <c r="I55" s="208">
        <f>43466+12439+67188</f>
        <v>123093</v>
      </c>
      <c r="J55" s="208">
        <f>57408+18720+49608</f>
        <v>125736</v>
      </c>
      <c r="K55" s="208">
        <f>18720+108438</f>
        <v>127158</v>
      </c>
      <c r="L55" s="208">
        <f>23400+96592</f>
        <v>119992</v>
      </c>
      <c r="M55" s="209">
        <f>23400+87081</f>
        <v>110481</v>
      </c>
      <c r="N55" s="210">
        <f>23400+76849</f>
        <v>100249</v>
      </c>
      <c r="O55" s="210">
        <f>23400+65128</f>
        <v>88528</v>
      </c>
      <c r="P55" s="210">
        <f>23400+52251</f>
        <v>75651</v>
      </c>
      <c r="Q55" s="27"/>
      <c r="R55" s="28"/>
      <c r="S55" s="28"/>
      <c r="T55" s="179" t="s">
        <v>104</v>
      </c>
    </row>
    <row r="56" spans="1:20" ht="16.2" thickBot="1" x14ac:dyDescent="0.35">
      <c r="A56" s="8"/>
      <c r="B56" s="33"/>
      <c r="C56" s="213" t="s">
        <v>94</v>
      </c>
      <c r="D56" s="32"/>
      <c r="E56" s="99"/>
      <c r="F56" s="99"/>
      <c r="G56" s="99"/>
      <c r="H56" s="99"/>
      <c r="I56" s="99"/>
      <c r="J56" s="99"/>
      <c r="K56" s="99"/>
      <c r="L56" s="99"/>
      <c r="M56" s="104"/>
      <c r="N56" s="105"/>
      <c r="O56" s="192">
        <v>25000</v>
      </c>
      <c r="P56" s="192">
        <v>70000</v>
      </c>
      <c r="Q56" s="193">
        <f>P56</f>
        <v>70000</v>
      </c>
      <c r="R56" s="28"/>
      <c r="S56" s="28" t="s">
        <v>107</v>
      </c>
    </row>
    <row r="57" spans="1:20" s="174" customFormat="1" ht="29.4" thickBot="1" x14ac:dyDescent="0.4">
      <c r="A57" s="172"/>
      <c r="B57" s="173"/>
      <c r="C57" s="36" t="s">
        <v>40</v>
      </c>
      <c r="D57" s="175"/>
      <c r="E57" s="176">
        <v>694</v>
      </c>
      <c r="F57" s="176">
        <v>958</v>
      </c>
      <c r="G57" s="176">
        <v>1128</v>
      </c>
      <c r="H57" s="176">
        <v>8064</v>
      </c>
      <c r="I57" s="176">
        <v>7253</v>
      </c>
      <c r="J57" s="176">
        <v>9073</v>
      </c>
      <c r="K57" s="176">
        <v>11255</v>
      </c>
      <c r="L57" s="176">
        <v>14648</v>
      </c>
      <c r="M57" s="177">
        <v>10889</v>
      </c>
      <c r="N57" s="178">
        <v>10140</v>
      </c>
      <c r="O57" s="178">
        <v>8858</v>
      </c>
      <c r="P57" s="178">
        <v>7703</v>
      </c>
      <c r="Q57" s="324">
        <f>SUM(E57:P57)</f>
        <v>90663</v>
      </c>
      <c r="R57" s="325"/>
      <c r="S57" s="246"/>
    </row>
    <row r="58" spans="1:20" ht="21.6" thickBot="1" x14ac:dyDescent="0.45">
      <c r="A58" s="4"/>
      <c r="B58" s="33"/>
      <c r="C58" s="334" t="s">
        <v>21</v>
      </c>
      <c r="D58" s="334"/>
      <c r="E58" s="55"/>
      <c r="F58" s="55"/>
      <c r="G58" s="55"/>
      <c r="H58" s="55"/>
      <c r="I58" s="55"/>
      <c r="J58" s="55"/>
      <c r="K58" s="55"/>
      <c r="L58" s="55"/>
      <c r="M58" s="56" t="s">
        <v>34</v>
      </c>
      <c r="N58" s="38" t="s">
        <v>34</v>
      </c>
      <c r="O58" s="38" t="s">
        <v>54</v>
      </c>
      <c r="P58" s="39"/>
      <c r="Q58" s="34"/>
      <c r="R58" s="35"/>
      <c r="S58" s="28"/>
    </row>
    <row r="59" spans="1:20" ht="29.4" thickBot="1" x14ac:dyDescent="0.4">
      <c r="B59" s="326" t="s">
        <v>40</v>
      </c>
      <c r="C59" s="327"/>
      <c r="D59" s="328"/>
      <c r="E59" s="48">
        <f t="shared" ref="E59:L59" si="1">E57+E20+E41</f>
        <v>3032</v>
      </c>
      <c r="F59" s="48">
        <f t="shared" si="1"/>
        <v>2782</v>
      </c>
      <c r="G59" s="48">
        <f t="shared" si="1"/>
        <v>3796</v>
      </c>
      <c r="H59" s="48">
        <f t="shared" si="1"/>
        <v>9375</v>
      </c>
      <c r="I59" s="48">
        <f t="shared" si="1"/>
        <v>8379</v>
      </c>
      <c r="J59" s="48">
        <f t="shared" si="1"/>
        <v>14603</v>
      </c>
      <c r="K59" s="48">
        <f t="shared" si="1"/>
        <v>30699</v>
      </c>
      <c r="L59" s="48">
        <f t="shared" si="1"/>
        <v>23039</v>
      </c>
      <c r="M59" s="48">
        <f>M57+M20+M41</f>
        <v>114574</v>
      </c>
      <c r="N59" s="48">
        <f>N57+N20+N41</f>
        <v>116638</v>
      </c>
      <c r="O59" s="67">
        <f>O57+O20+O41</f>
        <v>111097</v>
      </c>
      <c r="P59" s="48">
        <f>P57+P20+P41</f>
        <v>102645</v>
      </c>
      <c r="Q59" s="322">
        <f>SUM(E59:P59)</f>
        <v>540659</v>
      </c>
      <c r="R59" s="323"/>
      <c r="S59" s="28"/>
    </row>
    <row r="60" spans="1:20" ht="29.4" thickBot="1" x14ac:dyDescent="0.6">
      <c r="B60" s="329" t="s">
        <v>110</v>
      </c>
      <c r="C60" s="330"/>
      <c r="D60" s="331"/>
      <c r="E60" s="75">
        <f t="shared" ref="E60:P60" si="2">E55+E44-E6</f>
        <v>98614</v>
      </c>
      <c r="F60" s="75">
        <f t="shared" si="2"/>
        <v>15607</v>
      </c>
      <c r="G60" s="75">
        <f t="shared" si="2"/>
        <v>34538</v>
      </c>
      <c r="H60" s="75">
        <f t="shared" si="2"/>
        <v>118822</v>
      </c>
      <c r="I60" s="75">
        <f t="shared" si="2"/>
        <v>159032</v>
      </c>
      <c r="J60" s="75">
        <f t="shared" si="2"/>
        <v>203428</v>
      </c>
      <c r="K60" s="75">
        <f t="shared" si="2"/>
        <v>779348</v>
      </c>
      <c r="L60" s="75">
        <f t="shared" si="2"/>
        <v>1155085</v>
      </c>
      <c r="M60" s="75">
        <f t="shared" si="2"/>
        <v>1206176</v>
      </c>
      <c r="N60" s="75">
        <f t="shared" si="2"/>
        <v>1192268</v>
      </c>
      <c r="O60" s="75">
        <f t="shared" si="2"/>
        <v>1167415</v>
      </c>
      <c r="P60" s="75">
        <f t="shared" si="2"/>
        <v>1047400</v>
      </c>
      <c r="Q60" s="332">
        <f t="shared" ref="Q60:Q64" si="3">P60</f>
        <v>1047400</v>
      </c>
      <c r="R60" s="333"/>
      <c r="S60" s="28"/>
    </row>
    <row r="61" spans="1:20" s="7" customFormat="1" ht="29.25" customHeight="1" thickBot="1" x14ac:dyDescent="0.6">
      <c r="B61" s="301" t="s">
        <v>109</v>
      </c>
      <c r="C61" s="302"/>
      <c r="D61" s="303"/>
      <c r="E61" s="185">
        <f t="shared" ref="E61:P61" si="4">E10+E11+E12+E13+E14+E56</f>
        <v>31267</v>
      </c>
      <c r="F61" s="185">
        <f t="shared" si="4"/>
        <v>30364</v>
      </c>
      <c r="G61" s="185">
        <f t="shared" si="4"/>
        <v>70911</v>
      </c>
      <c r="H61" s="185">
        <f t="shared" si="4"/>
        <v>53069</v>
      </c>
      <c r="I61" s="185">
        <f t="shared" si="4"/>
        <v>77573</v>
      </c>
      <c r="J61" s="185">
        <f t="shared" si="4"/>
        <v>89647</v>
      </c>
      <c r="K61" s="185">
        <f t="shared" si="4"/>
        <v>116119</v>
      </c>
      <c r="L61" s="185">
        <f t="shared" si="4"/>
        <v>75011</v>
      </c>
      <c r="M61" s="185">
        <f t="shared" si="4"/>
        <v>185780</v>
      </c>
      <c r="N61" s="185">
        <f t="shared" si="4"/>
        <v>316608</v>
      </c>
      <c r="O61" s="185">
        <f t="shared" si="4"/>
        <v>286507</v>
      </c>
      <c r="P61" s="185">
        <f t="shared" si="4"/>
        <v>409158</v>
      </c>
      <c r="Q61" s="304">
        <f t="shared" si="3"/>
        <v>409158</v>
      </c>
      <c r="R61" s="305"/>
      <c r="S61" s="247"/>
    </row>
    <row r="62" spans="1:20" ht="29.4" thickBot="1" x14ac:dyDescent="0.35">
      <c r="B62" s="309" t="s">
        <v>111</v>
      </c>
      <c r="C62" s="310"/>
      <c r="D62" s="311"/>
      <c r="E62" s="74">
        <f t="shared" ref="E62:P62" si="5">E54+E53+E43+E42+E19+E18+E17+E16+E15</f>
        <v>126795</v>
      </c>
      <c r="F62" s="74">
        <f t="shared" si="5"/>
        <v>213756</v>
      </c>
      <c r="G62" s="74">
        <f t="shared" si="5"/>
        <v>238562</v>
      </c>
      <c r="H62" s="74">
        <f t="shared" si="5"/>
        <v>283700</v>
      </c>
      <c r="I62" s="74">
        <f t="shared" si="5"/>
        <v>310023</v>
      </c>
      <c r="J62" s="74">
        <f t="shared" si="5"/>
        <v>354710</v>
      </c>
      <c r="K62" s="74">
        <f t="shared" si="5"/>
        <v>484461</v>
      </c>
      <c r="L62" s="74">
        <f t="shared" si="5"/>
        <v>479639</v>
      </c>
      <c r="M62" s="74">
        <f t="shared" si="5"/>
        <v>705560</v>
      </c>
      <c r="N62" s="74">
        <f t="shared" si="5"/>
        <v>765008</v>
      </c>
      <c r="O62" s="74">
        <f t="shared" si="5"/>
        <v>763854</v>
      </c>
      <c r="P62" s="74">
        <f t="shared" si="5"/>
        <v>905767</v>
      </c>
      <c r="Q62" s="312">
        <f t="shared" si="3"/>
        <v>905767</v>
      </c>
      <c r="R62" s="313"/>
      <c r="S62" s="28"/>
    </row>
    <row r="63" spans="1:20" ht="29.4" thickBot="1" x14ac:dyDescent="0.35">
      <c r="B63" s="314" t="s">
        <v>88</v>
      </c>
      <c r="C63" s="315"/>
      <c r="D63" s="316"/>
      <c r="E63" s="127">
        <f>E8+E9</f>
        <v>99708</v>
      </c>
      <c r="F63" s="127">
        <f>F8+F9</f>
        <v>92262</v>
      </c>
      <c r="G63" s="127">
        <f>G8+G9</f>
        <v>70438</v>
      </c>
      <c r="H63" s="127">
        <f t="shared" ref="H63:P63" si="6">H8+H9</f>
        <v>67845</v>
      </c>
      <c r="I63" s="127">
        <f t="shared" si="6"/>
        <v>70343</v>
      </c>
      <c r="J63" s="127">
        <f t="shared" si="6"/>
        <v>87751</v>
      </c>
      <c r="K63" s="127">
        <f t="shared" si="6"/>
        <v>74521</v>
      </c>
      <c r="L63" s="127">
        <f t="shared" si="6"/>
        <v>51334</v>
      </c>
      <c r="M63" s="127">
        <f t="shared" si="6"/>
        <v>59119</v>
      </c>
      <c r="N63" s="127">
        <f t="shared" si="6"/>
        <v>69976</v>
      </c>
      <c r="O63" s="127">
        <f t="shared" si="6"/>
        <v>78959</v>
      </c>
      <c r="P63" s="127">
        <f t="shared" si="6"/>
        <v>89613</v>
      </c>
      <c r="Q63" s="317">
        <f t="shared" si="3"/>
        <v>89613</v>
      </c>
      <c r="R63" s="318"/>
      <c r="S63" s="28"/>
    </row>
    <row r="64" spans="1:20" ht="29.4" thickBot="1" x14ac:dyDescent="0.35">
      <c r="B64" s="319" t="s">
        <v>112</v>
      </c>
      <c r="C64" s="320"/>
      <c r="D64" s="321"/>
      <c r="E64" s="47">
        <f>E63+E62+E61+E60</f>
        <v>356384</v>
      </c>
      <c r="F64" s="47">
        <f>F63+F62+F61+F60</f>
        <v>351989</v>
      </c>
      <c r="G64" s="47">
        <f>G63+G62+G61+G60</f>
        <v>414449</v>
      </c>
      <c r="H64" s="47">
        <f t="shared" ref="H64:P64" si="7">H63+H62+H61+H60</f>
        <v>523436</v>
      </c>
      <c r="I64" s="47">
        <f t="shared" si="7"/>
        <v>616971</v>
      </c>
      <c r="J64" s="47">
        <f t="shared" si="7"/>
        <v>735536</v>
      </c>
      <c r="K64" s="47">
        <f t="shared" si="7"/>
        <v>1454449</v>
      </c>
      <c r="L64" s="47">
        <f t="shared" si="7"/>
        <v>1761069</v>
      </c>
      <c r="M64" s="47">
        <f t="shared" si="7"/>
        <v>2156635</v>
      </c>
      <c r="N64" s="47">
        <f t="shared" si="7"/>
        <v>2343860</v>
      </c>
      <c r="O64" s="47">
        <f t="shared" si="7"/>
        <v>2296735</v>
      </c>
      <c r="P64" s="47">
        <f t="shared" si="7"/>
        <v>2451938</v>
      </c>
      <c r="Q64" s="322">
        <f t="shared" si="3"/>
        <v>2451938</v>
      </c>
      <c r="R64" s="323"/>
      <c r="S64" s="28"/>
    </row>
    <row r="65" spans="2:19" ht="61.8" thickBot="1" x14ac:dyDescent="0.35">
      <c r="B65" s="306" t="s">
        <v>113</v>
      </c>
      <c r="C65" s="307"/>
      <c r="D65" s="307"/>
      <c r="E65" s="307"/>
      <c r="F65" s="307"/>
      <c r="G65" s="307"/>
      <c r="H65" s="307"/>
      <c r="I65" s="307"/>
      <c r="J65" s="307"/>
      <c r="K65" s="307"/>
      <c r="L65" s="307"/>
      <c r="M65" s="307"/>
      <c r="N65" s="307"/>
      <c r="O65" s="307"/>
      <c r="P65" s="307"/>
      <c r="Q65" s="307"/>
      <c r="R65" s="308"/>
      <c r="S65" s="35"/>
    </row>
    <row r="66" spans="2:19" x14ac:dyDescent="0.3">
      <c r="E66" t="b">
        <f t="shared" ref="E66:P66" si="8">E64=E56+E55+E54+E53+E44+E43+E42+E19+E18+E17+E16+E15+E14+E13+E12+E11+E10+E9+E8-E6</f>
        <v>1</v>
      </c>
      <c r="F66" t="b">
        <f t="shared" si="8"/>
        <v>1</v>
      </c>
      <c r="G66" t="b">
        <f t="shared" si="8"/>
        <v>1</v>
      </c>
      <c r="H66" t="b">
        <f t="shared" si="8"/>
        <v>1</v>
      </c>
      <c r="I66" t="b">
        <f t="shared" si="8"/>
        <v>1</v>
      </c>
      <c r="J66" t="b">
        <f t="shared" si="8"/>
        <v>1</v>
      </c>
      <c r="K66" t="b">
        <f t="shared" si="8"/>
        <v>1</v>
      </c>
      <c r="L66" t="b">
        <f t="shared" si="8"/>
        <v>1</v>
      </c>
      <c r="M66" t="b">
        <f t="shared" si="8"/>
        <v>1</v>
      </c>
      <c r="N66" t="b">
        <f t="shared" si="8"/>
        <v>1</v>
      </c>
      <c r="O66" t="b">
        <f t="shared" si="8"/>
        <v>1</v>
      </c>
      <c r="P66" t="b">
        <f t="shared" si="8"/>
        <v>1</v>
      </c>
    </row>
  </sheetData>
  <mergeCells count="31">
    <mergeCell ref="B2:R2"/>
    <mergeCell ref="F3:R3"/>
    <mergeCell ref="Q4:R4"/>
    <mergeCell ref="B5:B20"/>
    <mergeCell ref="D5:D20"/>
    <mergeCell ref="Q20:R20"/>
    <mergeCell ref="C47:P47"/>
    <mergeCell ref="C50:D50"/>
    <mergeCell ref="C51:P51"/>
    <mergeCell ref="Q41:R41"/>
    <mergeCell ref="Q45:R45"/>
    <mergeCell ref="C34:D34"/>
    <mergeCell ref="C35:D35"/>
    <mergeCell ref="C38:D38"/>
    <mergeCell ref="C39:P39"/>
    <mergeCell ref="C46:D46"/>
    <mergeCell ref="Q57:R57"/>
    <mergeCell ref="B59:D59"/>
    <mergeCell ref="Q59:R59"/>
    <mergeCell ref="B60:D60"/>
    <mergeCell ref="Q60:R60"/>
    <mergeCell ref="C58:D58"/>
    <mergeCell ref="B61:D61"/>
    <mergeCell ref="Q61:R61"/>
    <mergeCell ref="B65:R65"/>
    <mergeCell ref="B62:D62"/>
    <mergeCell ref="Q62:R62"/>
    <mergeCell ref="B63:D63"/>
    <mergeCell ref="Q63:R63"/>
    <mergeCell ref="B64:D64"/>
    <mergeCell ref="Q64:R64"/>
  </mergeCells>
  <pageMargins left="0" right="0" top="0" bottom="0" header="0.3" footer="0.3"/>
  <pageSetup paperSize="9" scale="39"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I18"/>
  <sheetViews>
    <sheetView topLeftCell="C13" zoomScale="90" zoomScaleNormal="90" workbookViewId="0">
      <selection activeCell="D5" sqref="D5:D7"/>
    </sheetView>
  </sheetViews>
  <sheetFormatPr defaultRowHeight="14.4" x14ac:dyDescent="0.3"/>
  <cols>
    <col min="3" max="3" width="67.5546875" customWidth="1"/>
    <col min="4" max="4" width="23" customWidth="1"/>
    <col min="5" max="5" width="28.6640625" customWidth="1"/>
    <col min="6" max="6" width="21.6640625" customWidth="1"/>
    <col min="7" max="7" width="29.33203125" bestFit="1" customWidth="1"/>
    <col min="8" max="8" width="15" bestFit="1" customWidth="1"/>
  </cols>
  <sheetData>
    <row r="1" spans="3:9" ht="15" thickBot="1" x14ac:dyDescent="0.35"/>
    <row r="2" spans="3:9" ht="46.8" thickBot="1" x14ac:dyDescent="0.35">
      <c r="C2" s="362" t="s">
        <v>90</v>
      </c>
      <c r="D2" s="363"/>
      <c r="E2" s="363"/>
      <c r="F2" s="363"/>
      <c r="G2" s="364"/>
    </row>
    <row r="3" spans="3:9" ht="61.8" thickBot="1" x14ac:dyDescent="0.35">
      <c r="C3" s="372" t="s">
        <v>166</v>
      </c>
      <c r="D3" s="373"/>
      <c r="E3" s="374"/>
      <c r="F3" s="318"/>
      <c r="G3" s="370" t="s">
        <v>95</v>
      </c>
    </row>
    <row r="4" spans="3:9" ht="61.5" customHeight="1" thickBot="1" x14ac:dyDescent="0.35">
      <c r="C4" s="8"/>
      <c r="D4" s="231" t="s">
        <v>150</v>
      </c>
      <c r="E4" s="231" t="s">
        <v>167</v>
      </c>
      <c r="F4" s="243" t="s">
        <v>131</v>
      </c>
      <c r="G4" s="371"/>
      <c r="H4" t="s">
        <v>159</v>
      </c>
    </row>
    <row r="5" spans="3:9" ht="29.4" thickBot="1" x14ac:dyDescent="0.35">
      <c r="C5" s="87" t="s">
        <v>130</v>
      </c>
      <c r="D5" s="233">
        <f>'FML 1999 to 2011 Report '!E20</f>
        <v>1687</v>
      </c>
      <c r="E5" s="82">
        <f>'FML 1999 to 2011 Report '!Q20</f>
        <v>68842</v>
      </c>
      <c r="F5" s="375" t="s">
        <v>56</v>
      </c>
      <c r="G5" s="95">
        <f>E5*1.2</f>
        <v>82610.399999999994</v>
      </c>
      <c r="H5" s="113">
        <f>E5-D5</f>
        <v>67155</v>
      </c>
      <c r="I5" t="s">
        <v>162</v>
      </c>
    </row>
    <row r="6" spans="3:9" ht="29.4" thickBot="1" x14ac:dyDescent="0.35">
      <c r="C6" s="88" t="s">
        <v>128</v>
      </c>
      <c r="D6" s="234">
        <f>'FML 1999 to 2011 Report '!E57</f>
        <v>694</v>
      </c>
      <c r="E6" s="83">
        <f>'FML 1999 to 2011 Report '!Q57</f>
        <v>90663</v>
      </c>
      <c r="F6" s="376"/>
      <c r="G6" s="96">
        <f>E6*1.3</f>
        <v>117861.90000000001</v>
      </c>
      <c r="H6" s="113">
        <f t="shared" ref="H6:H17" si="0">E6-D6</f>
        <v>89969</v>
      </c>
      <c r="I6" t="s">
        <v>162</v>
      </c>
    </row>
    <row r="7" spans="3:9" ht="29.4" thickBot="1" x14ac:dyDescent="0.35">
      <c r="C7" s="89" t="s">
        <v>153</v>
      </c>
      <c r="D7" s="235">
        <f>'FML 1999 to 2011 Report '!E41</f>
        <v>651</v>
      </c>
      <c r="E7" s="84">
        <f>'FML 1999 to 2011 Report '!Q41</f>
        <v>381154</v>
      </c>
      <c r="F7" s="376"/>
      <c r="G7" s="96">
        <f>E7*2.6</f>
        <v>991000.4</v>
      </c>
      <c r="H7" s="113">
        <f t="shared" si="0"/>
        <v>380503</v>
      </c>
      <c r="I7" t="s">
        <v>162</v>
      </c>
    </row>
    <row r="8" spans="3:9" ht="29.4" thickBot="1" x14ac:dyDescent="0.35">
      <c r="C8" s="229" t="s">
        <v>127</v>
      </c>
      <c r="D8" s="236">
        <f>'FML 1999 to 2011 Report '!E59</f>
        <v>3032</v>
      </c>
      <c r="E8" s="77">
        <f>'FML 1999 to 2011 Report '!Q59</f>
        <v>540659</v>
      </c>
      <c r="F8" s="377"/>
      <c r="G8" s="96">
        <f>SUM(G5:G7)</f>
        <v>1191472.7</v>
      </c>
      <c r="H8" s="113">
        <f t="shared" si="0"/>
        <v>537627</v>
      </c>
      <c r="I8" t="s">
        <v>162</v>
      </c>
    </row>
    <row r="9" spans="3:9" ht="29.4" thickBot="1" x14ac:dyDescent="0.35">
      <c r="C9" s="201" t="s">
        <v>110</v>
      </c>
      <c r="D9" s="237">
        <f>'FML 1999 to 2011 Report '!E60</f>
        <v>98614</v>
      </c>
      <c r="E9" s="80">
        <f>'FML 1999 to 2011 Report '!P60</f>
        <v>1047400</v>
      </c>
      <c r="F9" s="92" t="s">
        <v>55</v>
      </c>
      <c r="G9" s="96">
        <f>E9*0.75</f>
        <v>785550</v>
      </c>
      <c r="H9" s="113">
        <f t="shared" si="0"/>
        <v>948786</v>
      </c>
      <c r="I9" t="s">
        <v>136</v>
      </c>
    </row>
    <row r="10" spans="3:9" ht="29.4" thickBot="1" x14ac:dyDescent="0.35">
      <c r="C10" s="200" t="str">
        <f>'FML 1999 to 2011 Report '!B61</f>
        <v>Internal Receivables by FML</v>
      </c>
      <c r="D10" s="238">
        <f>'FML 1999 to 2011 Report '!E61</f>
        <v>31267</v>
      </c>
      <c r="E10" s="202">
        <f>'FML 1999 to 2011 Report '!P61</f>
        <v>409158</v>
      </c>
      <c r="F10" s="365" t="s">
        <v>57</v>
      </c>
      <c r="G10" s="96">
        <f>E10*1.2</f>
        <v>490989.6</v>
      </c>
      <c r="H10" s="113">
        <f t="shared" si="0"/>
        <v>377891</v>
      </c>
      <c r="I10" t="s">
        <v>135</v>
      </c>
    </row>
    <row r="11" spans="3:9" ht="29.4" thickBot="1" x14ac:dyDescent="0.35">
      <c r="C11" s="90" t="str">
        <f>'FML 1999 to 2011 Report '!B62</f>
        <v xml:space="preserve">Internal Payables by FML </v>
      </c>
      <c r="D11" s="239">
        <f>'FML 1999 to 2011 Report '!E62</f>
        <v>126795</v>
      </c>
      <c r="E11" s="78">
        <f>'FML 1999 to 2011 Report '!P62</f>
        <v>905767</v>
      </c>
      <c r="F11" s="366"/>
      <c r="G11" s="96">
        <f>E11*1.2</f>
        <v>1086920.3999999999</v>
      </c>
      <c r="H11" s="113">
        <f t="shared" si="0"/>
        <v>778972</v>
      </c>
      <c r="I11" t="s">
        <v>135</v>
      </c>
    </row>
    <row r="12" spans="3:9" ht="29.4" thickBot="1" x14ac:dyDescent="0.35">
      <c r="C12" s="128" t="str">
        <f>'FML 1999 to 2011 Report '!B63</f>
        <v>Payables by FML Branches</v>
      </c>
      <c r="D12" s="240">
        <f>'FML 1999 to 2011 Report '!E63</f>
        <v>99708</v>
      </c>
      <c r="E12" s="129">
        <f>'FML 1999 to 2011 Report '!P63</f>
        <v>89613</v>
      </c>
      <c r="F12" s="130" t="s">
        <v>89</v>
      </c>
      <c r="G12" s="96">
        <f>E12*1.2</f>
        <v>107535.59999999999</v>
      </c>
      <c r="H12" s="113">
        <f t="shared" si="0"/>
        <v>-10095</v>
      </c>
      <c r="I12" t="s">
        <v>134</v>
      </c>
    </row>
    <row r="13" spans="3:9" ht="36.6" thickBot="1" x14ac:dyDescent="0.35">
      <c r="C13" s="91" t="str">
        <f>'FML 1999 to 2011 Report '!B64</f>
        <v xml:space="preserve">Total Receivables &amp; Payables by FML </v>
      </c>
      <c r="D13" s="81">
        <f>'FML 1999 to 2011 Report '!E64</f>
        <v>356384</v>
      </c>
      <c r="E13" s="81">
        <f>'FML 1999 to 2011 Report '!P64</f>
        <v>2451938</v>
      </c>
      <c r="F13" s="93" t="s">
        <v>59</v>
      </c>
      <c r="G13" s="96">
        <f>SUM(G9:G11)</f>
        <v>2363460</v>
      </c>
      <c r="H13" s="113">
        <f t="shared" si="0"/>
        <v>2095554</v>
      </c>
      <c r="I13" t="s">
        <v>133</v>
      </c>
    </row>
    <row r="14" spans="3:9" ht="9.75" customHeight="1" thickBot="1" x14ac:dyDescent="0.35">
      <c r="C14" s="8"/>
      <c r="D14" s="4"/>
      <c r="E14" s="86"/>
      <c r="F14" s="94"/>
      <c r="G14" s="106"/>
      <c r="H14" s="113"/>
    </row>
    <row r="15" spans="3:9" ht="29.4" thickBot="1" x14ac:dyDescent="0.35">
      <c r="C15" s="230" t="s">
        <v>129</v>
      </c>
      <c r="D15" s="242">
        <f>D7</f>
        <v>651</v>
      </c>
      <c r="E15" s="77">
        <f>E7</f>
        <v>381154</v>
      </c>
      <c r="F15" s="378" t="s">
        <v>58</v>
      </c>
      <c r="G15" s="96">
        <f>G7</f>
        <v>991000.4</v>
      </c>
      <c r="H15" s="113">
        <f t="shared" si="0"/>
        <v>380503</v>
      </c>
      <c r="I15" t="s">
        <v>163</v>
      </c>
    </row>
    <row r="16" spans="3:9" ht="31.8" thickBot="1" x14ac:dyDescent="0.35">
      <c r="C16" s="285" t="s">
        <v>61</v>
      </c>
      <c r="D16" s="241">
        <f>'FML 1999 to 2011 Report '!E45</f>
        <v>-2576</v>
      </c>
      <c r="E16" s="79">
        <f>'FML 1999 to 2011 Report '!P45</f>
        <v>-276010</v>
      </c>
      <c r="F16" s="379"/>
      <c r="G16" s="96">
        <f>E16*1.75</f>
        <v>-483017.5</v>
      </c>
      <c r="H16" s="113">
        <f t="shared" si="0"/>
        <v>-273434</v>
      </c>
      <c r="I16" t="s">
        <v>164</v>
      </c>
    </row>
    <row r="17" spans="3:9" ht="36.6" thickBot="1" x14ac:dyDescent="0.35">
      <c r="C17" s="281" t="s">
        <v>60</v>
      </c>
      <c r="D17" s="80">
        <f>D15-D16</f>
        <v>3227</v>
      </c>
      <c r="E17" s="80">
        <f>E15-E16</f>
        <v>657164</v>
      </c>
      <c r="F17" s="93" t="s">
        <v>59</v>
      </c>
      <c r="G17" s="97">
        <f>G15-G16</f>
        <v>1474017.9</v>
      </c>
      <c r="H17" s="113">
        <f t="shared" si="0"/>
        <v>653937</v>
      </c>
      <c r="I17" t="s">
        <v>132</v>
      </c>
    </row>
    <row r="18" spans="3:9" ht="37.200000000000003" thickBot="1" x14ac:dyDescent="0.35">
      <c r="C18" s="367" t="s">
        <v>113</v>
      </c>
      <c r="D18" s="368"/>
      <c r="E18" s="368"/>
      <c r="F18" s="368"/>
      <c r="G18" s="369"/>
    </row>
  </sheetData>
  <mergeCells count="7">
    <mergeCell ref="C2:G2"/>
    <mergeCell ref="F10:F11"/>
    <mergeCell ref="C18:G18"/>
    <mergeCell ref="G3:G4"/>
    <mergeCell ref="C3:F3"/>
    <mergeCell ref="F5:F8"/>
    <mergeCell ref="F15:F16"/>
  </mergeCells>
  <pageMargins left="0.25" right="0.25" top="0.5" bottom="0.5" header="0.3" footer="0.3"/>
  <pageSetup paperSize="9" scale="83"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9"/>
  <sheetViews>
    <sheetView topLeftCell="A7" workbookViewId="0">
      <selection activeCell="A6" sqref="A6:I6"/>
    </sheetView>
  </sheetViews>
  <sheetFormatPr defaultRowHeight="14.4" x14ac:dyDescent="0.3"/>
  <cols>
    <col min="9" max="9" width="92" customWidth="1"/>
  </cols>
  <sheetData>
    <row r="3" spans="1:9" ht="15" thickBot="1" x14ac:dyDescent="0.35"/>
    <row r="4" spans="1:9" s="7" customFormat="1" ht="124.5" customHeight="1" thickBot="1" x14ac:dyDescent="0.35">
      <c r="A4" s="383" t="s">
        <v>155</v>
      </c>
      <c r="B4" s="384"/>
      <c r="C4" s="384"/>
      <c r="D4" s="384"/>
      <c r="E4" s="384"/>
      <c r="F4" s="384"/>
      <c r="G4" s="384"/>
      <c r="H4" s="384"/>
      <c r="I4" s="385"/>
    </row>
    <row r="5" spans="1:9" s="7" customFormat="1" ht="105" customHeight="1" thickBot="1" x14ac:dyDescent="0.35">
      <c r="A5" s="386" t="s">
        <v>156</v>
      </c>
      <c r="B5" s="387"/>
      <c r="C5" s="387"/>
      <c r="D5" s="387"/>
      <c r="E5" s="387"/>
      <c r="F5" s="387"/>
      <c r="G5" s="387"/>
      <c r="H5" s="387"/>
      <c r="I5" s="388"/>
    </row>
    <row r="6" spans="1:9" ht="90" customHeight="1" thickBot="1" x14ac:dyDescent="0.35">
      <c r="A6" s="389" t="s">
        <v>157</v>
      </c>
      <c r="B6" s="390"/>
      <c r="C6" s="390"/>
      <c r="D6" s="390"/>
      <c r="E6" s="390"/>
      <c r="F6" s="390"/>
      <c r="G6" s="390"/>
      <c r="H6" s="390"/>
      <c r="I6" s="391"/>
    </row>
    <row r="7" spans="1:9" ht="95.25" customHeight="1" thickBot="1" x14ac:dyDescent="0.35">
      <c r="A7" s="392" t="s">
        <v>154</v>
      </c>
      <c r="B7" s="393"/>
      <c r="C7" s="393"/>
      <c r="D7" s="393"/>
      <c r="E7" s="393"/>
      <c r="F7" s="393"/>
      <c r="G7" s="393"/>
      <c r="H7" s="393"/>
      <c r="I7" s="394"/>
    </row>
    <row r="8" spans="1:9" ht="66" customHeight="1" thickBot="1" x14ac:dyDescent="0.35">
      <c r="A8" s="395" t="s">
        <v>161</v>
      </c>
      <c r="B8" s="396"/>
      <c r="C8" s="396"/>
      <c r="D8" s="396"/>
      <c r="E8" s="396"/>
      <c r="F8" s="396"/>
      <c r="G8" s="396"/>
      <c r="H8" s="396"/>
      <c r="I8" s="397"/>
    </row>
    <row r="9" spans="1:9" ht="147" customHeight="1" thickBot="1" x14ac:dyDescent="0.35">
      <c r="A9" s="380" t="s">
        <v>160</v>
      </c>
      <c r="B9" s="381"/>
      <c r="C9" s="381"/>
      <c r="D9" s="381"/>
      <c r="E9" s="381"/>
      <c r="F9" s="381"/>
      <c r="G9" s="381"/>
      <c r="H9" s="381"/>
      <c r="I9" s="382"/>
    </row>
  </sheetData>
  <mergeCells count="6">
    <mergeCell ref="A9:I9"/>
    <mergeCell ref="A4:I4"/>
    <mergeCell ref="A5:I5"/>
    <mergeCell ref="A6:I6"/>
    <mergeCell ref="A7:I7"/>
    <mergeCell ref="A8:I8"/>
  </mergeCells>
  <pageMargins left="0.25" right="0.25" top="0" bottom="0" header="0.3" footer="0.3"/>
  <pageSetup paperSize="9" scale="86"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3"/>
  <sheetViews>
    <sheetView workbookViewId="0">
      <selection activeCell="B9" sqref="B9"/>
    </sheetView>
  </sheetViews>
  <sheetFormatPr defaultRowHeight="14.4" x14ac:dyDescent="0.3"/>
  <cols>
    <col min="2" max="2" width="110.6640625" customWidth="1"/>
  </cols>
  <sheetData>
    <row r="2" spans="2:2" ht="15" thickBot="1" x14ac:dyDescent="0.35"/>
    <row r="3" spans="2:2" ht="38.4" x14ac:dyDescent="0.3">
      <c r="B3" s="137" t="s">
        <v>62</v>
      </c>
    </row>
    <row r="4" spans="2:2" ht="28.8" x14ac:dyDescent="0.3">
      <c r="B4" s="138" t="s">
        <v>63</v>
      </c>
    </row>
    <row r="5" spans="2:2" ht="28.8" x14ac:dyDescent="0.3">
      <c r="B5" s="138" t="s">
        <v>64</v>
      </c>
    </row>
    <row r="6" spans="2:2" ht="33.6" x14ac:dyDescent="0.3">
      <c r="B6" s="139" t="s">
        <v>65</v>
      </c>
    </row>
    <row r="7" spans="2:2" ht="33.6" x14ac:dyDescent="0.3">
      <c r="B7" s="139" t="s">
        <v>165</v>
      </c>
    </row>
    <row r="8" spans="2:2" ht="10.5" customHeight="1" x14ac:dyDescent="0.55000000000000004">
      <c r="B8" s="123"/>
    </row>
    <row r="9" spans="2:2" ht="46.2" x14ac:dyDescent="0.3">
      <c r="B9" s="134" t="s">
        <v>68</v>
      </c>
    </row>
    <row r="10" spans="2:2" ht="46.2" x14ac:dyDescent="0.3">
      <c r="B10" s="134" t="s">
        <v>66</v>
      </c>
    </row>
    <row r="11" spans="2:2" ht="38.4" x14ac:dyDescent="0.3">
      <c r="B11" s="135" t="s">
        <v>67</v>
      </c>
    </row>
    <row r="12" spans="2:2" ht="43.8" x14ac:dyDescent="0.3">
      <c r="B12" s="136" t="s">
        <v>69</v>
      </c>
    </row>
    <row r="13" spans="2:2" ht="6.75" customHeight="1" x14ac:dyDescent="0.45">
      <c r="B13" s="122"/>
    </row>
    <row r="14" spans="2:2" ht="56.4" x14ac:dyDescent="0.3">
      <c r="B14" s="132" t="s">
        <v>70</v>
      </c>
    </row>
    <row r="15" spans="2:2" ht="9" customHeight="1" x14ac:dyDescent="0.45">
      <c r="B15" s="122"/>
    </row>
    <row r="16" spans="2:2" ht="28.8" x14ac:dyDescent="0.55000000000000004">
      <c r="B16" s="133" t="s">
        <v>71</v>
      </c>
    </row>
    <row r="17" spans="2:2" ht="28.8" x14ac:dyDescent="0.55000000000000004">
      <c r="B17" s="133" t="s">
        <v>96</v>
      </c>
    </row>
    <row r="18" spans="2:2" ht="28.8" x14ac:dyDescent="0.55000000000000004">
      <c r="B18" s="133" t="s">
        <v>72</v>
      </c>
    </row>
    <row r="19" spans="2:2" ht="28.8" x14ac:dyDescent="0.55000000000000004">
      <c r="B19" s="133" t="s">
        <v>73</v>
      </c>
    </row>
    <row r="20" spans="2:2" ht="10.5" customHeight="1" x14ac:dyDescent="0.45">
      <c r="B20" s="122"/>
    </row>
    <row r="21" spans="2:2" ht="28.8" x14ac:dyDescent="0.55000000000000004">
      <c r="B21" s="124" t="s">
        <v>152</v>
      </c>
    </row>
    <row r="22" spans="2:2" ht="10.5" customHeight="1" x14ac:dyDescent="0.45">
      <c r="B22" s="122"/>
    </row>
    <row r="23" spans="2:2" ht="184.2" thickBot="1" x14ac:dyDescent="0.35">
      <c r="B23" s="125" t="s">
        <v>118</v>
      </c>
    </row>
  </sheetData>
  <pageMargins left="0.2" right="0" top="0" bottom="0"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F3:O38"/>
  <sheetViews>
    <sheetView tabSelected="1" topLeftCell="I21" workbookViewId="0">
      <selection activeCell="G6" sqref="G6"/>
    </sheetView>
  </sheetViews>
  <sheetFormatPr defaultRowHeight="14.4" x14ac:dyDescent="0.3"/>
  <cols>
    <col min="5" max="5" width="16.88671875" bestFit="1" customWidth="1"/>
    <col min="6" max="6" width="15" customWidth="1"/>
    <col min="7" max="7" width="20.44140625" customWidth="1"/>
    <col min="8" max="8" width="17.6640625" customWidth="1"/>
    <col min="9" max="9" width="17.109375" customWidth="1"/>
    <col min="10" max="10" width="21.6640625" customWidth="1"/>
    <col min="11" max="11" width="20.88671875" customWidth="1"/>
    <col min="12" max="12" width="19.33203125" customWidth="1"/>
    <col min="13" max="13" width="14.109375" customWidth="1"/>
    <col min="14" max="14" width="13.44140625" bestFit="1" customWidth="1"/>
  </cols>
  <sheetData>
    <row r="3" spans="6:14" ht="15" thickBot="1" x14ac:dyDescent="0.35"/>
    <row r="4" spans="6:14" x14ac:dyDescent="0.3">
      <c r="F4" s="404" t="s">
        <v>149</v>
      </c>
      <c r="G4" s="405"/>
      <c r="H4" s="405"/>
      <c r="I4" s="405"/>
      <c r="J4" s="405"/>
      <c r="K4" s="405"/>
      <c r="L4" s="405"/>
      <c r="M4" s="405"/>
      <c r="N4" s="406"/>
    </row>
    <row r="5" spans="6:14" ht="24.75" customHeight="1" thickBot="1" x14ac:dyDescent="0.35">
      <c r="F5" s="407"/>
      <c r="G5" s="408"/>
      <c r="H5" s="408"/>
      <c r="I5" s="408"/>
      <c r="J5" s="408"/>
      <c r="K5" s="408"/>
      <c r="L5" s="408"/>
      <c r="M5" s="408"/>
      <c r="N5" s="409"/>
    </row>
    <row r="6" spans="6:14" ht="15" thickBot="1" x14ac:dyDescent="0.35">
      <c r="F6" s="282" t="s">
        <v>119</v>
      </c>
      <c r="G6" s="283" t="s">
        <v>123</v>
      </c>
      <c r="H6" s="283" t="s">
        <v>121</v>
      </c>
      <c r="I6" s="283" t="s">
        <v>120</v>
      </c>
      <c r="J6" s="283" t="s">
        <v>138</v>
      </c>
      <c r="K6" s="283" t="s">
        <v>139</v>
      </c>
      <c r="L6" s="283" t="s">
        <v>145</v>
      </c>
      <c r="M6" s="284"/>
      <c r="N6" s="85"/>
    </row>
    <row r="7" spans="6:14" x14ac:dyDescent="0.3">
      <c r="F7" s="249">
        <v>2005</v>
      </c>
      <c r="G7" s="257">
        <v>528989</v>
      </c>
      <c r="H7" s="257">
        <v>1864</v>
      </c>
      <c r="I7" s="257">
        <v>527125</v>
      </c>
      <c r="J7" s="257">
        <f>3998+3263</f>
        <v>7261</v>
      </c>
      <c r="K7" s="257">
        <v>26140</v>
      </c>
      <c r="L7" s="280">
        <f>G7-H7-I7</f>
        <v>0</v>
      </c>
      <c r="M7" s="398" t="s">
        <v>146</v>
      </c>
      <c r="N7" s="274"/>
    </row>
    <row r="8" spans="6:14" x14ac:dyDescent="0.3">
      <c r="F8" s="273">
        <v>2006</v>
      </c>
      <c r="G8" s="216">
        <v>517634</v>
      </c>
      <c r="H8" s="216">
        <v>1864</v>
      </c>
      <c r="I8" s="216">
        <v>468755</v>
      </c>
      <c r="J8" s="216">
        <v>6132</v>
      </c>
      <c r="K8" s="216">
        <v>43381.5</v>
      </c>
      <c r="L8" s="248">
        <f t="shared" ref="L8:L13" si="0">G8-H8-I8</f>
        <v>47015</v>
      </c>
      <c r="M8" s="399"/>
      <c r="N8" s="274"/>
    </row>
    <row r="9" spans="6:14" x14ac:dyDescent="0.3">
      <c r="F9" s="273">
        <v>2007</v>
      </c>
      <c r="G9" s="216">
        <v>517634</v>
      </c>
      <c r="H9" s="216">
        <v>1864</v>
      </c>
      <c r="I9" s="216">
        <v>421716</v>
      </c>
      <c r="J9" s="216">
        <v>6928</v>
      </c>
      <c r="K9" s="216">
        <v>58495.4</v>
      </c>
      <c r="L9" s="248">
        <f t="shared" si="0"/>
        <v>94054</v>
      </c>
      <c r="M9" s="399"/>
      <c r="N9" s="274"/>
    </row>
    <row r="10" spans="6:14" x14ac:dyDescent="0.3">
      <c r="F10" s="273">
        <v>2008</v>
      </c>
      <c r="G10" s="216">
        <v>517634</v>
      </c>
      <c r="H10" s="216">
        <v>1864</v>
      </c>
      <c r="I10" s="216">
        <v>356363</v>
      </c>
      <c r="J10" s="216">
        <v>0</v>
      </c>
      <c r="K10" s="216">
        <v>64743</v>
      </c>
      <c r="L10" s="248">
        <f t="shared" si="0"/>
        <v>159407</v>
      </c>
      <c r="M10" s="399"/>
      <c r="N10" s="274"/>
    </row>
    <row r="11" spans="6:14" x14ac:dyDescent="0.3">
      <c r="F11" s="273">
        <v>2009</v>
      </c>
      <c r="G11" s="216">
        <v>521270</v>
      </c>
      <c r="H11" s="216">
        <v>1864</v>
      </c>
      <c r="I11" s="216">
        <v>289519</v>
      </c>
      <c r="J11" s="216">
        <v>4074</v>
      </c>
      <c r="K11" s="216">
        <v>70480.179999999993</v>
      </c>
      <c r="L11" s="248">
        <f t="shared" si="0"/>
        <v>229887</v>
      </c>
      <c r="M11" s="399"/>
      <c r="N11" s="274"/>
    </row>
    <row r="12" spans="6:14" x14ac:dyDescent="0.3">
      <c r="F12" s="273">
        <v>2010</v>
      </c>
      <c r="G12" s="216">
        <v>521270</v>
      </c>
      <c r="H12" s="216">
        <v>1864</v>
      </c>
      <c r="I12" s="216">
        <v>264346</v>
      </c>
      <c r="J12" s="216">
        <v>15889</v>
      </c>
      <c r="K12" s="216">
        <v>41128</v>
      </c>
      <c r="L12" s="248">
        <f t="shared" si="0"/>
        <v>255060</v>
      </c>
      <c r="M12" s="399"/>
      <c r="N12" s="274"/>
    </row>
    <row r="13" spans="6:14" x14ac:dyDescent="0.3">
      <c r="F13" s="273">
        <v>2011</v>
      </c>
      <c r="G13" s="216">
        <v>521270</v>
      </c>
      <c r="H13" s="216">
        <v>1864</v>
      </c>
      <c r="I13" s="216">
        <v>310315</v>
      </c>
      <c r="J13" s="216">
        <v>63033</v>
      </c>
      <c r="K13" s="216">
        <v>17064</v>
      </c>
      <c r="L13" s="248">
        <f t="shared" si="0"/>
        <v>209091</v>
      </c>
      <c r="M13" s="399"/>
      <c r="N13" s="274"/>
    </row>
    <row r="14" spans="6:14" ht="15" thickBot="1" x14ac:dyDescent="0.35">
      <c r="F14" s="220"/>
      <c r="G14" s="221"/>
      <c r="H14" s="221"/>
      <c r="I14" s="221"/>
      <c r="J14" s="221"/>
      <c r="K14" s="222"/>
      <c r="L14" s="275"/>
      <c r="M14" s="366"/>
      <c r="N14" s="85"/>
    </row>
    <row r="15" spans="6:14" ht="15" thickBot="1" x14ac:dyDescent="0.35">
      <c r="F15" s="8"/>
      <c r="G15" s="4"/>
      <c r="H15" s="4"/>
      <c r="I15" s="4"/>
      <c r="J15" s="4"/>
      <c r="K15" s="4"/>
      <c r="L15" s="4"/>
      <c r="M15" s="4"/>
      <c r="N15" s="85"/>
    </row>
    <row r="16" spans="6:14" ht="15" thickBot="1" x14ac:dyDescent="0.35">
      <c r="F16" s="276" t="s">
        <v>147</v>
      </c>
      <c r="G16" s="232" t="s">
        <v>123</v>
      </c>
      <c r="H16" s="277" t="s">
        <v>121</v>
      </c>
      <c r="I16" s="278" t="s">
        <v>122</v>
      </c>
      <c r="J16" s="278" t="s">
        <v>137</v>
      </c>
      <c r="K16" s="278" t="s">
        <v>140</v>
      </c>
      <c r="L16" s="279" t="s">
        <v>145</v>
      </c>
      <c r="M16" s="9"/>
      <c r="N16" s="85"/>
    </row>
    <row r="17" spans="6:15" ht="15" thickBot="1" x14ac:dyDescent="0.35">
      <c r="F17" s="253">
        <v>2004</v>
      </c>
      <c r="G17" s="4"/>
      <c r="H17" s="252">
        <v>11042</v>
      </c>
      <c r="I17" s="250"/>
      <c r="J17" s="250"/>
      <c r="K17" s="250"/>
      <c r="L17" s="251"/>
      <c r="M17" s="85"/>
      <c r="N17" s="85"/>
    </row>
    <row r="18" spans="6:15" x14ac:dyDescent="0.3">
      <c r="F18" s="254">
        <v>2005</v>
      </c>
      <c r="G18" s="216">
        <v>268434</v>
      </c>
      <c r="H18" s="216">
        <v>19507</v>
      </c>
      <c r="I18" s="216">
        <v>248927</v>
      </c>
      <c r="J18" s="216">
        <f>17905+14155</f>
        <v>32060</v>
      </c>
      <c r="K18" s="216">
        <v>14180</v>
      </c>
      <c r="L18" s="218">
        <f>G18-H18-I18</f>
        <v>0</v>
      </c>
      <c r="M18" s="400" t="s">
        <v>146</v>
      </c>
      <c r="N18" s="85"/>
    </row>
    <row r="19" spans="6:15" x14ac:dyDescent="0.3">
      <c r="F19" s="254">
        <v>2006</v>
      </c>
      <c r="G19" s="216">
        <v>321385</v>
      </c>
      <c r="H19" s="216">
        <v>58319</v>
      </c>
      <c r="I19" s="216">
        <v>257178</v>
      </c>
      <c r="J19" s="216">
        <v>22078</v>
      </c>
      <c r="K19" s="216">
        <v>18132</v>
      </c>
      <c r="L19" s="218">
        <f t="shared" ref="L19:L24" si="1">G19-H19-I19</f>
        <v>5888</v>
      </c>
      <c r="M19" s="399"/>
      <c r="N19" s="85"/>
    </row>
    <row r="20" spans="6:15" x14ac:dyDescent="0.3">
      <c r="F20" s="254">
        <v>2007</v>
      </c>
      <c r="G20" s="216">
        <v>320483</v>
      </c>
      <c r="H20" s="216">
        <v>123713</v>
      </c>
      <c r="I20" s="216">
        <v>253566</v>
      </c>
      <c r="J20" s="216">
        <f>14489+9620</f>
        <v>24109</v>
      </c>
      <c r="K20" s="216">
        <v>26543</v>
      </c>
      <c r="L20" s="218">
        <f t="shared" si="1"/>
        <v>-56796</v>
      </c>
      <c r="M20" s="399"/>
      <c r="N20" s="85"/>
    </row>
    <row r="21" spans="6:15" x14ac:dyDescent="0.3">
      <c r="F21" s="254">
        <v>2008</v>
      </c>
      <c r="G21" s="216">
        <v>318288</v>
      </c>
      <c r="H21" s="216">
        <v>115376</v>
      </c>
      <c r="I21" s="216">
        <v>244375</v>
      </c>
      <c r="J21" s="216">
        <v>24090</v>
      </c>
      <c r="K21" s="216">
        <v>32381</v>
      </c>
      <c r="L21" s="218">
        <f t="shared" si="1"/>
        <v>-41463</v>
      </c>
      <c r="M21" s="399"/>
      <c r="N21" s="85"/>
    </row>
    <row r="22" spans="6:15" x14ac:dyDescent="0.3">
      <c r="F22" s="254">
        <v>2009</v>
      </c>
      <c r="G22" s="216">
        <v>315064</v>
      </c>
      <c r="H22" s="216">
        <v>168627</v>
      </c>
      <c r="I22" s="216">
        <v>241778</v>
      </c>
      <c r="J22" s="216">
        <v>26074</v>
      </c>
      <c r="K22" s="216">
        <v>28150</v>
      </c>
      <c r="L22" s="218">
        <f t="shared" si="1"/>
        <v>-95341</v>
      </c>
      <c r="M22" s="399"/>
      <c r="N22" s="85"/>
    </row>
    <row r="23" spans="6:15" x14ac:dyDescent="0.3">
      <c r="F23" s="254">
        <v>2010</v>
      </c>
      <c r="G23" s="216">
        <v>315238</v>
      </c>
      <c r="H23" s="216">
        <v>171927</v>
      </c>
      <c r="I23" s="216">
        <v>260996</v>
      </c>
      <c r="J23" s="216">
        <f>26252+29041+271.4</f>
        <v>55564.4</v>
      </c>
      <c r="K23" s="216">
        <v>29576</v>
      </c>
      <c r="L23" s="218">
        <f t="shared" si="1"/>
        <v>-117685</v>
      </c>
      <c r="M23" s="399"/>
      <c r="N23" s="85"/>
    </row>
    <row r="24" spans="6:15" x14ac:dyDescent="0.3">
      <c r="F24" s="254">
        <v>2011</v>
      </c>
      <c r="G24" s="216">
        <v>316975</v>
      </c>
      <c r="H24" s="216">
        <v>38976</v>
      </c>
      <c r="I24" s="216">
        <v>279376</v>
      </c>
      <c r="J24" s="216">
        <v>55140</v>
      </c>
      <c r="K24" s="216">
        <v>36168.449999999997</v>
      </c>
      <c r="L24" s="218">
        <f t="shared" si="1"/>
        <v>-1377</v>
      </c>
      <c r="M24" s="399"/>
      <c r="N24" s="85"/>
    </row>
    <row r="25" spans="6:15" ht="15" thickBot="1" x14ac:dyDescent="0.35">
      <c r="F25" s="254">
        <v>2012</v>
      </c>
      <c r="G25" s="216"/>
      <c r="H25" s="215"/>
      <c r="I25" s="215"/>
      <c r="J25" s="215"/>
      <c r="K25" s="217"/>
      <c r="L25" s="219"/>
      <c r="M25" s="366"/>
      <c r="N25" s="85"/>
    </row>
    <row r="26" spans="6:15" ht="15" thickBot="1" x14ac:dyDescent="0.35">
      <c r="F26" s="220"/>
      <c r="G26" s="221"/>
      <c r="H26" s="221"/>
      <c r="I26" s="221"/>
      <c r="J26" s="221"/>
      <c r="K26" s="222"/>
      <c r="L26" s="223"/>
      <c r="M26" s="214"/>
      <c r="N26" s="85"/>
    </row>
    <row r="27" spans="6:15" ht="15" thickBot="1" x14ac:dyDescent="0.35">
      <c r="F27" s="8"/>
      <c r="G27" s="4"/>
      <c r="H27" s="4"/>
      <c r="I27" s="4"/>
      <c r="J27" s="4"/>
      <c r="K27" s="4"/>
      <c r="L27" s="4"/>
      <c r="M27" s="4"/>
      <c r="N27" s="85"/>
    </row>
    <row r="28" spans="6:15" ht="16.2" thickBot="1" x14ac:dyDescent="0.35">
      <c r="F28" s="1"/>
      <c r="G28" s="401" t="s">
        <v>148</v>
      </c>
      <c r="H28" s="402"/>
      <c r="I28" s="402"/>
      <c r="J28" s="402"/>
      <c r="K28" s="402"/>
      <c r="L28" s="403"/>
      <c r="M28" s="261" t="s">
        <v>144</v>
      </c>
      <c r="N28" s="261" t="s">
        <v>143</v>
      </c>
    </row>
    <row r="29" spans="6:15" ht="15" thickBot="1" x14ac:dyDescent="0.35">
      <c r="F29" s="258"/>
      <c r="G29" s="259" t="s">
        <v>141</v>
      </c>
      <c r="H29" s="259" t="s">
        <v>137</v>
      </c>
      <c r="I29" s="259" t="s">
        <v>138</v>
      </c>
      <c r="J29" s="259" t="s">
        <v>140</v>
      </c>
      <c r="K29" s="259" t="s">
        <v>139</v>
      </c>
      <c r="L29" s="260" t="s">
        <v>142</v>
      </c>
      <c r="M29" s="262" t="s">
        <v>121</v>
      </c>
      <c r="N29" s="262" t="s">
        <v>121</v>
      </c>
    </row>
    <row r="30" spans="6:15" x14ac:dyDescent="0.3">
      <c r="F30" s="253">
        <v>2005</v>
      </c>
      <c r="G30" s="293">
        <v>11042</v>
      </c>
      <c r="H30" s="257">
        <f>17905+14155</f>
        <v>32060</v>
      </c>
      <c r="I30" s="257">
        <f>3998+3263</f>
        <v>7261</v>
      </c>
      <c r="J30" s="257">
        <v>14180</v>
      </c>
      <c r="K30" s="257">
        <v>26140</v>
      </c>
      <c r="L30" s="257">
        <v>19507</v>
      </c>
      <c r="M30" s="252">
        <f>G30+J30+K30-H30-I30</f>
        <v>12041</v>
      </c>
      <c r="N30" s="263">
        <f>L30-M30</f>
        <v>7466</v>
      </c>
      <c r="O30" t="s">
        <v>158</v>
      </c>
    </row>
    <row r="31" spans="6:15" x14ac:dyDescent="0.3">
      <c r="F31" s="254">
        <v>2006</v>
      </c>
      <c r="G31" s="217">
        <f t="shared" ref="G31:G37" si="2">L30</f>
        <v>19507</v>
      </c>
      <c r="H31" s="216">
        <v>22078</v>
      </c>
      <c r="I31" s="216">
        <v>6132</v>
      </c>
      <c r="J31" s="216">
        <v>18132</v>
      </c>
      <c r="K31" s="216">
        <v>43381.5</v>
      </c>
      <c r="L31" s="216">
        <v>58319</v>
      </c>
      <c r="M31" s="217">
        <f t="shared" ref="M31:M36" si="3">G31+J31+K31-H31-I31</f>
        <v>52810.5</v>
      </c>
      <c r="N31" s="255">
        <f t="shared" ref="N31:N36" si="4">L31-M31</f>
        <v>5508.5</v>
      </c>
      <c r="O31" t="s">
        <v>158</v>
      </c>
    </row>
    <row r="32" spans="6:15" x14ac:dyDescent="0.3">
      <c r="F32" s="254">
        <v>2007</v>
      </c>
      <c r="G32" s="217">
        <f t="shared" si="2"/>
        <v>58319</v>
      </c>
      <c r="H32" s="216">
        <f>14489+9620</f>
        <v>24109</v>
      </c>
      <c r="I32" s="216">
        <v>6928</v>
      </c>
      <c r="J32" s="216">
        <v>26543</v>
      </c>
      <c r="K32" s="216">
        <v>58495.4</v>
      </c>
      <c r="L32" s="216">
        <v>123713</v>
      </c>
      <c r="M32" s="217">
        <f t="shared" si="3"/>
        <v>112320.4</v>
      </c>
      <c r="N32" s="255">
        <f t="shared" si="4"/>
        <v>11392.600000000006</v>
      </c>
      <c r="O32" t="s">
        <v>158</v>
      </c>
    </row>
    <row r="33" spans="6:15" x14ac:dyDescent="0.3">
      <c r="F33" s="254">
        <v>2008</v>
      </c>
      <c r="G33" s="217">
        <f t="shared" si="2"/>
        <v>123713</v>
      </c>
      <c r="H33" s="216">
        <v>24090</v>
      </c>
      <c r="I33" s="216">
        <v>0</v>
      </c>
      <c r="J33" s="216">
        <v>32381</v>
      </c>
      <c r="K33" s="216">
        <v>64743</v>
      </c>
      <c r="L33" s="216">
        <v>115376</v>
      </c>
      <c r="M33" s="217">
        <f t="shared" si="3"/>
        <v>196747</v>
      </c>
      <c r="N33" s="264">
        <f t="shared" si="4"/>
        <v>-81371</v>
      </c>
      <c r="O33" t="s">
        <v>151</v>
      </c>
    </row>
    <row r="34" spans="6:15" x14ac:dyDescent="0.3">
      <c r="F34" s="254">
        <v>2009</v>
      </c>
      <c r="G34" s="217">
        <f t="shared" si="2"/>
        <v>115376</v>
      </c>
      <c r="H34" s="216">
        <v>26074</v>
      </c>
      <c r="I34" s="216">
        <v>4074</v>
      </c>
      <c r="J34" s="216">
        <v>28150</v>
      </c>
      <c r="K34" s="216">
        <v>70480.179999999993</v>
      </c>
      <c r="L34" s="216">
        <v>168627</v>
      </c>
      <c r="M34" s="217">
        <f t="shared" si="3"/>
        <v>183858.18</v>
      </c>
      <c r="N34" s="264">
        <f t="shared" si="4"/>
        <v>-15231.179999999993</v>
      </c>
      <c r="O34" t="s">
        <v>151</v>
      </c>
    </row>
    <row r="35" spans="6:15" x14ac:dyDescent="0.3">
      <c r="F35" s="254">
        <v>2010</v>
      </c>
      <c r="G35" s="217">
        <f t="shared" si="2"/>
        <v>168627</v>
      </c>
      <c r="H35" s="216">
        <f>26252+29041+271.4</f>
        <v>55564.4</v>
      </c>
      <c r="I35" s="216">
        <v>15889</v>
      </c>
      <c r="J35" s="216">
        <v>29576</v>
      </c>
      <c r="K35" s="216">
        <v>41128</v>
      </c>
      <c r="L35" s="216">
        <v>171927</v>
      </c>
      <c r="M35" s="217">
        <f t="shared" si="3"/>
        <v>167877.6</v>
      </c>
      <c r="N35" s="255">
        <f t="shared" si="4"/>
        <v>4049.3999999999942</v>
      </c>
      <c r="O35" t="s">
        <v>158</v>
      </c>
    </row>
    <row r="36" spans="6:15" x14ac:dyDescent="0.3">
      <c r="F36" s="254">
        <v>2011</v>
      </c>
      <c r="G36" s="217">
        <f t="shared" si="2"/>
        <v>171927</v>
      </c>
      <c r="H36" s="216">
        <v>55140</v>
      </c>
      <c r="I36" s="216">
        <v>63033</v>
      </c>
      <c r="J36" s="216">
        <v>36168.449999999997</v>
      </c>
      <c r="K36" s="216">
        <v>17064</v>
      </c>
      <c r="L36" s="270">
        <v>38976</v>
      </c>
      <c r="M36" s="217">
        <f t="shared" si="3"/>
        <v>106986.45000000001</v>
      </c>
      <c r="N36" s="264">
        <f t="shared" si="4"/>
        <v>-68010.450000000012</v>
      </c>
      <c r="O36" t="s">
        <v>151</v>
      </c>
    </row>
    <row r="37" spans="6:15" ht="15" thickBot="1" x14ac:dyDescent="0.35">
      <c r="F37" s="256">
        <v>2012</v>
      </c>
      <c r="G37" s="265">
        <f t="shared" si="2"/>
        <v>38976</v>
      </c>
      <c r="H37" s="266"/>
      <c r="I37" s="266"/>
      <c r="J37" s="266"/>
      <c r="K37" s="266"/>
      <c r="L37" s="294"/>
      <c r="M37" s="221"/>
      <c r="N37" s="223"/>
    </row>
    <row r="38" spans="6:15" ht="15" thickBot="1" x14ac:dyDescent="0.35">
      <c r="F38" s="232" t="s">
        <v>117</v>
      </c>
      <c r="G38" s="271">
        <f>G30</f>
        <v>11042</v>
      </c>
      <c r="H38" s="268">
        <f>SUM(H30:H37)</f>
        <v>239115.4</v>
      </c>
      <c r="I38" s="268">
        <f>SUM(I30:I37)</f>
        <v>103317</v>
      </c>
      <c r="J38" s="268">
        <f>SUM(J30:J37)</f>
        <v>185130.45</v>
      </c>
      <c r="K38" s="268">
        <f>SUM(K30:K37)</f>
        <v>321432.07999999996</v>
      </c>
      <c r="L38" s="269">
        <f>L36</f>
        <v>38976</v>
      </c>
      <c r="M38" s="267">
        <f>G38+J38+K38-H38-I38</f>
        <v>175172.13</v>
      </c>
      <c r="N38" s="272">
        <f>N33+N34+N36</f>
        <v>-164612.63</v>
      </c>
      <c r="O38" t="s">
        <v>151</v>
      </c>
    </row>
  </sheetData>
  <mergeCells count="4">
    <mergeCell ref="M7:M14"/>
    <mergeCell ref="M18:M25"/>
    <mergeCell ref="G28:L28"/>
    <mergeCell ref="F4:N5"/>
  </mergeCells>
  <pageMargins left="0.7" right="0.7" top="0.75" bottom="0.75" header="0.3" footer="0.3"/>
  <pageSetup paperSize="9" scale="82"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FML 1999 to 2011 Report </vt:lpstr>
      <vt:lpstr>Summary &amp; Forecast</vt:lpstr>
      <vt:lpstr>Notes</vt:lpstr>
      <vt:lpstr>Questions</vt:lpstr>
      <vt:lpstr>Trust Account</vt:lpstr>
      <vt:lpstr>'FML 1999 to 2011 Report '!Print_Area</vt:lpstr>
      <vt:lpstr>Notes!Print_Area</vt:lpstr>
      <vt:lpstr>Questions!Print_Area</vt:lpstr>
      <vt:lpstr>'Summary &amp; Forecast'!Print_Area</vt:lpstr>
      <vt:lpstr>'Trust Account'!Print_Area</vt:lpstr>
    </vt:vector>
  </TitlesOfParts>
  <Company>Organisation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Azhar Mohammed</cp:lastModifiedBy>
  <cp:lastPrinted>2013-03-13T21:36:06Z</cp:lastPrinted>
  <dcterms:created xsi:type="dcterms:W3CDTF">2013-03-02T00:48:07Z</dcterms:created>
  <dcterms:modified xsi:type="dcterms:W3CDTF">2013-03-21T10:00:53Z</dcterms:modified>
</cp:coreProperties>
</file>